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colbun.sharepoint.com/sites/AnlisisRazonado/Documentos compartidos/General/01 Análisis Razonado/2025/4T25/"/>
    </mc:Choice>
  </mc:AlternateContent>
  <xr:revisionPtr revIDLastSave="3878" documentId="8_{91A2C3C6-380F-49FA-A59A-D2ABB313A4EE}" xr6:coauthVersionLast="47" xr6:coauthVersionMax="47" xr10:uidLastSave="{D4B265DA-02FE-4871-A469-3D7320D78555}"/>
  <bookViews>
    <workbookView xWindow="-80" yWindow="-80" windowWidth="19360" windowHeight="10240" tabRatio="857" xr2:uid="{00000000-000D-0000-FFFF-FFFF00000000}"/>
  </bookViews>
  <sheets>
    <sheet name="Index" sheetId="10" r:id="rId1"/>
    <sheet name="PPAs" sheetId="15" r:id="rId2"/>
    <sheet name="Installed Capacity" sheetId="12" r:id="rId3"/>
    <sheet name="Physical Sales &amp; Gx." sheetId="6" r:id="rId4"/>
    <sheet name="Income Statement" sheetId="1" r:id="rId5"/>
    <sheet name="Operating Income" sheetId="2" r:id="rId6"/>
    <sheet name="Non-Operating Income" sheetId="3" r:id="rId7"/>
    <sheet name="Cash Flow" sheetId="16" r:id="rId8"/>
    <sheet name="Amortization Profile" sheetId="8" r:id="rId9"/>
    <sheet name="Balance Sheet" sheetId="4" r:id="rId10"/>
    <sheet name="Main Debt Items" sheetId="7"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16" l="1"/>
  <c r="BD9" i="6"/>
  <c r="C17" i="6"/>
  <c r="BD14" i="16"/>
  <c r="BD33" i="16" l="1"/>
  <c r="AG37" i="1" l="1"/>
  <c r="AJ39" i="1"/>
  <c r="AJ43" i="1" s="1"/>
  <c r="AR37" i="1"/>
  <c r="AR13" i="1"/>
  <c r="AR9" i="1"/>
  <c r="AR21" i="1" s="1"/>
  <c r="AR27" i="1" s="1"/>
  <c r="AR29" i="1" s="1"/>
  <c r="BD52" i="2"/>
  <c r="BD45" i="2"/>
  <c r="BD59" i="2" s="1"/>
  <c r="BD65" i="2" s="1"/>
  <c r="BD67" i="2" s="1"/>
  <c r="BD10" i="2"/>
  <c r="BD17" i="2"/>
  <c r="BC25" i="7"/>
  <c r="AR31" i="4"/>
  <c r="AR37" i="4"/>
  <c r="AR12" i="4"/>
  <c r="AR18" i="4"/>
  <c r="BD15" i="3"/>
  <c r="BD25" i="2" l="1"/>
  <c r="BD31" i="2" s="1"/>
  <c r="BD33" i="2" s="1"/>
  <c r="AR39" i="1"/>
  <c r="AR43" i="1" s="1"/>
  <c r="BD38" i="3"/>
  <c r="BD46" i="3"/>
  <c r="BD47" i="3" s="1"/>
  <c r="BD51" i="6"/>
  <c r="AJ24" i="6"/>
  <c r="AP9" i="6" l="1"/>
  <c r="BD29" i="6"/>
  <c r="BD39" i="6"/>
  <c r="BD46" i="6"/>
  <c r="BD17" i="6" l="1"/>
  <c r="BB14" i="16" l="1"/>
  <c r="BA14" i="16"/>
  <c r="BA18" i="16" s="1"/>
  <c r="BB9" i="16" s="1"/>
  <c r="BB33" i="16"/>
  <c r="BA33" i="16"/>
  <c r="BA37" i="16" s="1"/>
  <c r="BB28" i="16" s="1"/>
  <c r="BB37" i="16" s="1"/>
  <c r="BC28" i="16" s="1"/>
  <c r="BB18" i="16" l="1"/>
  <c r="BC9" i="6" l="1"/>
  <c r="BC33" i="16" l="1"/>
  <c r="BC14" i="16"/>
  <c r="BC9" i="16"/>
  <c r="BC37" i="16" l="1"/>
  <c r="BD28" i="16" s="1"/>
  <c r="BD37" i="16" s="1"/>
  <c r="BC18" i="16"/>
  <c r="BB11" i="7"/>
  <c r="BD18" i="16" l="1"/>
  <c r="BB25" i="7"/>
  <c r="AQ37" i="4" l="1"/>
  <c r="AQ31" i="4"/>
  <c r="AQ18" i="4"/>
  <c r="BC46" i="3"/>
  <c r="BC47" i="3" s="1"/>
  <c r="BC38" i="3"/>
  <c r="BC15" i="3"/>
  <c r="BC52" i="2"/>
  <c r="BC45" i="2"/>
  <c r="BC17" i="2"/>
  <c r="BC10" i="2"/>
  <c r="BC25" i="2" l="1"/>
  <c r="BC31" i="2" s="1"/>
  <c r="BC33" i="2" s="1"/>
  <c r="BC59" i="2"/>
  <c r="BC65" i="2" s="1"/>
  <c r="BC67" i="2" s="1"/>
  <c r="AQ12" i="4"/>
  <c r="AQ37" i="1"/>
  <c r="AQ13" i="1"/>
  <c r="AQ9" i="1"/>
  <c r="AQ21" i="1" s="1"/>
  <c r="AQ27" i="1" s="1"/>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K24" i="6"/>
  <c r="AL24" i="6"/>
  <c r="AM24" i="6"/>
  <c r="AN24" i="6"/>
  <c r="AO24" i="6"/>
  <c r="AP24" i="6"/>
  <c r="AQ24" i="6"/>
  <c r="AR24" i="6"/>
  <c r="AS24" i="6"/>
  <c r="AU24" i="6"/>
  <c r="AV24" i="6"/>
  <c r="AW24" i="6"/>
  <c r="AX24" i="6"/>
  <c r="AY24" i="6"/>
  <c r="AZ24" i="6"/>
  <c r="BA24" i="6"/>
  <c r="BB24" i="6"/>
  <c r="BC24"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U20" i="6"/>
  <c r="AV20" i="6"/>
  <c r="AW20" i="6"/>
  <c r="AX20" i="6"/>
  <c r="AY20" i="6"/>
  <c r="AZ20" i="6"/>
  <c r="BA20" i="6"/>
  <c r="BB20" i="6"/>
  <c r="BC20" i="6"/>
  <c r="BC51" i="6"/>
  <c r="BC46" i="6"/>
  <c r="BC39" i="6"/>
  <c r="BC29" i="6"/>
  <c r="AQ39" i="1" l="1"/>
  <c r="AQ43" i="1" s="1"/>
  <c r="BC17" i="6"/>
  <c r="AQ29" i="1"/>
  <c r="C25" i="16"/>
  <c r="D25" i="16"/>
  <c r="G26" i="16"/>
  <c r="G27" i="16"/>
  <c r="G28" i="16" s="1"/>
  <c r="G7" i="16"/>
  <c r="G8" i="16" s="1"/>
  <c r="G9" i="16" s="1"/>
  <c r="G10" i="16" s="1"/>
  <c r="G11" i="16" s="1"/>
  <c r="C11" i="16" l="1"/>
  <c r="G12" i="16"/>
  <c r="D11" i="16"/>
  <c r="G29" i="16"/>
  <c r="G30" i="16" s="1"/>
  <c r="E11" i="16" l="1"/>
  <c r="G13" i="16"/>
  <c r="C12" i="16"/>
  <c r="D12" i="16"/>
  <c r="D30" i="16"/>
  <c r="C30" i="16"/>
  <c r="G31" i="16"/>
  <c r="C28" i="16"/>
  <c r="E28" i="16" s="1"/>
  <c r="C9" i="16"/>
  <c r="D9" i="16" l="1"/>
  <c r="E9" i="16" s="1"/>
  <c r="G32" i="16"/>
  <c r="C31" i="16"/>
  <c r="D31" i="16"/>
  <c r="E30" i="16"/>
  <c r="C13" i="16"/>
  <c r="D13" i="16"/>
  <c r="G14" i="16"/>
  <c r="E31" i="16" l="1"/>
  <c r="D14" i="16"/>
  <c r="G15" i="16"/>
  <c r="G16" i="16" s="1"/>
  <c r="C14" i="16"/>
  <c r="D32" i="16"/>
  <c r="C32" i="16"/>
  <c r="G33" i="16"/>
  <c r="C33" i="16" l="1"/>
  <c r="G34" i="16"/>
  <c r="G35" i="16" s="1"/>
  <c r="D33" i="16"/>
  <c r="C16" i="16"/>
  <c r="D16" i="16"/>
  <c r="G17" i="16"/>
  <c r="G18" i="16" s="1"/>
  <c r="E32" i="16"/>
  <c r="E14" i="16"/>
  <c r="E33" i="16" l="1"/>
  <c r="C18" i="16"/>
  <c r="D18" i="16"/>
  <c r="C35" i="16"/>
  <c r="D35" i="16"/>
  <c r="G36" i="16"/>
  <c r="G37" i="16" s="1"/>
  <c r="E35" i="16" l="1"/>
  <c r="E18" i="16"/>
  <c r="D37" i="16"/>
  <c r="C37" i="16"/>
  <c r="E37" i="16" l="1"/>
  <c r="AZ25" i="7" l="1"/>
  <c r="AZ11" i="7"/>
  <c r="BA11" i="7" l="1"/>
  <c r="BA25" i="7"/>
  <c r="AO37" i="4" l="1"/>
  <c r="AO31" i="4"/>
  <c r="AO18" i="4"/>
  <c r="AO12" i="4"/>
  <c r="BB46" i="3"/>
  <c r="BB47" i="3" s="1"/>
  <c r="BA46" i="3"/>
  <c r="BA47" i="3" s="1"/>
  <c r="BA38" i="3"/>
  <c r="AY38" i="3"/>
  <c r="BB38" i="3"/>
  <c r="BA15" i="3"/>
  <c r="BB15" i="3"/>
  <c r="AP18" i="4" l="1"/>
  <c r="AP37" i="4"/>
  <c r="AP12" i="4"/>
  <c r="AP31" i="4"/>
  <c r="AV65" i="2" l="1"/>
  <c r="AV67" i="2" s="1"/>
  <c r="AU65" i="2"/>
  <c r="AU67" i="2" s="1"/>
  <c r="AT65" i="2"/>
  <c r="AT67" i="2" s="1"/>
  <c r="BA52" i="2"/>
  <c r="BB52" i="2"/>
  <c r="BA45" i="2"/>
  <c r="BA59" i="2" s="1"/>
  <c r="BB45" i="2"/>
  <c r="BB59" i="2" s="1"/>
  <c r="AW17" i="2"/>
  <c r="AX17" i="2"/>
  <c r="AY17" i="2"/>
  <c r="AZ17" i="2"/>
  <c r="BA17" i="2"/>
  <c r="BB17" i="2"/>
  <c r="AW10" i="2"/>
  <c r="AX10" i="2"/>
  <c r="AY10" i="2"/>
  <c r="AZ10" i="2"/>
  <c r="BA10" i="2"/>
  <c r="BB10" i="2"/>
  <c r="BB25" i="2" s="1"/>
  <c r="BB31" i="2" s="1"/>
  <c r="BB33" i="2" s="1"/>
  <c r="AP37" i="1"/>
  <c r="AO37" i="1"/>
  <c r="AN37" i="1"/>
  <c r="AM37" i="1"/>
  <c r="AL37" i="1"/>
  <c r="AK37" i="1"/>
  <c r="AP13" i="1"/>
  <c r="AO13" i="1"/>
  <c r="AN13" i="1"/>
  <c r="AM13" i="1"/>
  <c r="AL13" i="1"/>
  <c r="AK13" i="1"/>
  <c r="AP9" i="1"/>
  <c r="AP21" i="1" s="1"/>
  <c r="AP27" i="1" s="1"/>
  <c r="AO9" i="1"/>
  <c r="AN9" i="1"/>
  <c r="AN21" i="1" s="1"/>
  <c r="AN27" i="1" s="1"/>
  <c r="AM9" i="1"/>
  <c r="AM21" i="1" s="1"/>
  <c r="AM27" i="1" s="1"/>
  <c r="AL9" i="1"/>
  <c r="AK9" i="1"/>
  <c r="BA29" i="6"/>
  <c r="BB29" i="6"/>
  <c r="BB46" i="6"/>
  <c r="BA46" i="6"/>
  <c r="BB39" i="6"/>
  <c r="BA39" i="6"/>
  <c r="BB17" i="6"/>
  <c r="BA17" i="6"/>
  <c r="BB9" i="6"/>
  <c r="AX29" i="6"/>
  <c r="AY29" i="6"/>
  <c r="AZ29" i="6"/>
  <c r="AM39" i="1" l="1"/>
  <c r="AM43" i="1" s="1"/>
  <c r="AN39" i="1"/>
  <c r="AN43" i="1" s="1"/>
  <c r="AP39" i="1"/>
  <c r="AP43" i="1" s="1"/>
  <c r="AL21" i="1"/>
  <c r="AL27" i="1" s="1"/>
  <c r="AL29" i="1" s="1"/>
  <c r="AO21" i="1"/>
  <c r="AO27" i="1" s="1"/>
  <c r="AO39" i="1" s="1"/>
  <c r="AO43" i="1" s="1"/>
  <c r="BA25" i="2"/>
  <c r="BA31" i="2" s="1"/>
  <c r="BA33" i="2" s="1"/>
  <c r="BC13" i="7" s="1"/>
  <c r="AZ25" i="2"/>
  <c r="AZ31" i="2" s="1"/>
  <c r="AZ33" i="2" s="1"/>
  <c r="BB13" i="7" s="1"/>
  <c r="AY25" i="2"/>
  <c r="AY31" i="2" s="1"/>
  <c r="AY33" i="2" s="1"/>
  <c r="BA13" i="7" s="1"/>
  <c r="AX25" i="2"/>
  <c r="AX31" i="2" s="1"/>
  <c r="AX33" i="2" s="1"/>
  <c r="AZ13" i="7" s="1"/>
  <c r="AW25" i="2"/>
  <c r="AW31" i="2" s="1"/>
  <c r="AW33" i="2" s="1"/>
  <c r="AK21" i="1"/>
  <c r="AK27" i="1" s="1"/>
  <c r="AK39" i="1" s="1"/>
  <c r="AK43" i="1" s="1"/>
  <c r="AN29" i="1"/>
  <c r="AM29" i="1"/>
  <c r="AP29" i="1"/>
  <c r="BB65" i="2"/>
  <c r="BB67" i="2" s="1"/>
  <c r="BA65" i="2"/>
  <c r="BA67" i="2" s="1"/>
  <c r="BC27" i="7" s="1"/>
  <c r="BA9" i="6"/>
  <c r="AV42" i="3"/>
  <c r="AV44" i="3"/>
  <c r="AV40" i="3"/>
  <c r="AV36" i="3"/>
  <c r="AV35" i="3"/>
  <c r="AV34" i="3"/>
  <c r="AV33" i="3"/>
  <c r="AV38" i="3" s="1"/>
  <c r="AL39" i="1" l="1"/>
  <c r="AL43" i="1" s="1"/>
  <c r="AO29" i="1"/>
  <c r="AK29" i="1"/>
  <c r="AY25" i="7"/>
  <c r="AY11" i="7"/>
  <c r="AN18" i="4"/>
  <c r="AN35" i="4"/>
  <c r="AZ46" i="3"/>
  <c r="AZ23" i="3" l="1"/>
  <c r="AZ47" i="3"/>
  <c r="AZ38" i="3"/>
  <c r="AX38" i="3"/>
  <c r="AW38" i="3"/>
  <c r="AN34" i="4"/>
  <c r="AN33" i="4"/>
  <c r="AN29" i="4"/>
  <c r="AN28" i="4"/>
  <c r="AN12" i="4"/>
  <c r="AN31" i="4" l="1"/>
  <c r="AN37" i="4"/>
  <c r="C42" i="2" l="1"/>
  <c r="AZ15" i="3"/>
  <c r="AZ52" i="2"/>
  <c r="AZ45" i="2"/>
  <c r="AZ59" i="2" s="1"/>
  <c r="AZ46" i="6"/>
  <c r="AZ39" i="6"/>
  <c r="AZ17" i="6"/>
  <c r="AZ65" i="2" l="1"/>
  <c r="AZ67" i="2" s="1"/>
  <c r="BB27" i="7" s="1"/>
  <c r="AZ9" i="6"/>
  <c r="C11" i="15" l="1"/>
  <c r="AX25" i="7" l="1"/>
  <c r="AX11" i="7"/>
  <c r="AM16" i="4"/>
  <c r="AM37" i="4"/>
  <c r="AM12" i="4"/>
  <c r="AM31" i="4"/>
  <c r="AY46" i="3"/>
  <c r="AY47" i="3" s="1"/>
  <c r="AY15" i="3"/>
  <c r="AY45" i="2"/>
  <c r="AY52" i="2"/>
  <c r="AY39" i="6"/>
  <c r="D30" i="3"/>
  <c r="C30" i="3"/>
  <c r="AY46" i="6"/>
  <c r="AY9" i="6"/>
  <c r="AL16" i="4"/>
  <c r="AL14" i="4"/>
  <c r="AT21" i="3"/>
  <c r="AT17" i="3"/>
  <c r="AT12" i="3"/>
  <c r="AT11" i="3"/>
  <c r="AT10" i="3"/>
  <c r="AT9" i="3"/>
  <c r="AT38" i="3"/>
  <c r="AT19" i="3"/>
  <c r="AT13" i="3"/>
  <c r="AY59" i="2" l="1"/>
  <c r="AY65" i="2"/>
  <c r="AY67" i="2" s="1"/>
  <c r="BA27" i="7" s="1"/>
  <c r="AY17" i="6"/>
  <c r="AM18" i="4"/>
  <c r="AT10" i="2"/>
  <c r="AU10" i="2"/>
  <c r="AV10" i="2"/>
  <c r="AT17" i="2"/>
  <c r="AU17" i="2"/>
  <c r="AV17" i="2"/>
  <c r="AW23" i="7"/>
  <c r="AW25" i="7" s="1"/>
  <c r="AW9" i="7"/>
  <c r="AK37" i="4"/>
  <c r="AL37" i="4"/>
  <c r="AK31" i="4"/>
  <c r="AL31" i="4"/>
  <c r="AL18" i="4"/>
  <c r="AK12" i="4"/>
  <c r="AL12" i="4"/>
  <c r="AX45" i="2"/>
  <c r="AX59" i="2" s="1"/>
  <c r="AX52" i="2"/>
  <c r="AV15" i="3"/>
  <c r="AW15" i="3"/>
  <c r="AX46" i="3" l="1"/>
  <c r="AX47" i="3" s="1"/>
  <c r="AU25" i="2"/>
  <c r="AU31" i="2" s="1"/>
  <c r="AU33" i="2" s="1"/>
  <c r="AW11" i="7"/>
  <c r="AV25" i="2"/>
  <c r="AX65" i="2"/>
  <c r="AX67" i="2" s="1"/>
  <c r="AZ27" i="7" s="1"/>
  <c r="AT25" i="2"/>
  <c r="AT31" i="2" s="1"/>
  <c r="AX46" i="6" l="1"/>
  <c r="AW46" i="6"/>
  <c r="AX39" i="6"/>
  <c r="AX17" i="6"/>
  <c r="AX9" i="6"/>
  <c r="AQ23" i="3" l="1"/>
  <c r="AK16" i="4" l="1"/>
  <c r="AK18" i="4" s="1"/>
  <c r="AV25" i="7" l="1"/>
  <c r="AV11" i="7"/>
  <c r="AW52" i="2" l="1"/>
  <c r="AT47" i="3"/>
  <c r="AU47" i="3"/>
  <c r="AT46" i="3"/>
  <c r="AT23" i="3" s="1"/>
  <c r="AU46" i="3"/>
  <c r="AU23" i="3" s="1"/>
  <c r="AW46" i="3"/>
  <c r="AS47" i="3"/>
  <c r="AS46" i="3"/>
  <c r="AS23" i="3" s="1"/>
  <c r="AW45" i="2"/>
  <c r="AW59" i="2" s="1"/>
  <c r="AY12" i="7"/>
  <c r="AY13" i="7" s="1"/>
  <c r="AW29" i="6"/>
  <c r="AW17" i="6"/>
  <c r="AW9" i="6"/>
  <c r="AT33" i="2"/>
  <c r="AR31" i="2"/>
  <c r="AR33" i="2" s="1"/>
  <c r="AH16" i="4"/>
  <c r="AH15" i="4"/>
  <c r="AH14" i="4"/>
  <c r="AH10" i="4"/>
  <c r="AH9" i="4"/>
  <c r="AF10" i="4"/>
  <c r="AF9" i="4"/>
  <c r="AW23" i="3" l="1"/>
  <c r="AW47" i="3"/>
  <c r="AW65" i="2"/>
  <c r="AW67" i="2" s="1"/>
  <c r="AH18" i="4"/>
  <c r="AJ16" i="4"/>
  <c r="AJ15" i="4"/>
  <c r="AJ14" i="4"/>
  <c r="AJ10" i="4"/>
  <c r="AJ9" i="4"/>
  <c r="AJ37" i="4"/>
  <c r="AJ18" i="4" s="1"/>
  <c r="AJ31" i="4"/>
  <c r="AJ12" i="4" s="1"/>
  <c r="AX26" i="7" l="1"/>
  <c r="AX27" i="7" s="1"/>
  <c r="AY26" i="7"/>
  <c r="AY27" i="7" s="1"/>
  <c r="AW26" i="7"/>
  <c r="AW27" i="7" s="1"/>
  <c r="AV26" i="7"/>
  <c r="AV27" i="7" s="1"/>
  <c r="AU25" i="7" l="1"/>
  <c r="AU11" i="7"/>
  <c r="AS11" i="2" l="1"/>
  <c r="AS12" i="2"/>
  <c r="AR17" i="2"/>
  <c r="AS17" i="2"/>
  <c r="AR52" i="2"/>
  <c r="AV31" i="2" l="1"/>
  <c r="AV33" i="2" s="1"/>
  <c r="AW12" i="7" l="1"/>
  <c r="AX12" i="7"/>
  <c r="AX13" i="7" s="1"/>
  <c r="AV12" i="7"/>
  <c r="AV13" i="7" s="1"/>
  <c r="AR15" i="3"/>
  <c r="AV46" i="6"/>
  <c r="AV17" i="6"/>
  <c r="AV29" i="6"/>
  <c r="AV9" i="6"/>
  <c r="AW13" i="7" l="1"/>
  <c r="AV47" i="3"/>
  <c r="AV46" i="3"/>
  <c r="AV23" i="3" s="1"/>
  <c r="AF16" i="4"/>
  <c r="AI10" i="4"/>
  <c r="AI9" i="4"/>
  <c r="F21" i="7"/>
  <c r="F22" i="7" s="1"/>
  <c r="F23" i="7" s="1"/>
  <c r="F24" i="7" s="1"/>
  <c r="F25" i="7" s="1"/>
  <c r="F26" i="7" s="1"/>
  <c r="F27" i="7" s="1"/>
  <c r="F7" i="7"/>
  <c r="F8" i="7" s="1"/>
  <c r="F9" i="7" s="1"/>
  <c r="C20" i="7"/>
  <c r="B20" i="7"/>
  <c r="B24" i="7" s="1"/>
  <c r="G26" i="4"/>
  <c r="G27" i="4" s="1"/>
  <c r="G28" i="4" s="1"/>
  <c r="G29" i="4" s="1"/>
  <c r="G30" i="4" s="1"/>
  <c r="G31" i="4" s="1"/>
  <c r="G32" i="4" s="1"/>
  <c r="G7" i="4"/>
  <c r="G8" i="4" s="1"/>
  <c r="G9" i="4" s="1"/>
  <c r="D25" i="4"/>
  <c r="C25" i="4"/>
  <c r="G31" i="3"/>
  <c r="G32" i="3" s="1"/>
  <c r="G33" i="3" s="1"/>
  <c r="G34" i="3" s="1"/>
  <c r="G7" i="3"/>
  <c r="G8" i="3" s="1"/>
  <c r="G9" i="3" s="1"/>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G7" i="1"/>
  <c r="G8" i="1" s="1"/>
  <c r="G9" i="1" s="1"/>
  <c r="C9" i="1" s="1"/>
  <c r="AR39" i="6"/>
  <c r="G37" i="6"/>
  <c r="G38" i="6" s="1"/>
  <c r="G39" i="6" s="1"/>
  <c r="G40" i="6" s="1"/>
  <c r="G41" i="6" s="1"/>
  <c r="D36" i="6"/>
  <c r="C36" i="6"/>
  <c r="G7" i="6"/>
  <c r="G8" i="6" s="1"/>
  <c r="G9" i="6" s="1"/>
  <c r="G10" i="6" s="1"/>
  <c r="G11" i="6" s="1"/>
  <c r="C24" i="7" l="1"/>
  <c r="C27" i="7"/>
  <c r="C53" i="2"/>
  <c r="AI12" i="4"/>
  <c r="D11" i="6"/>
  <c r="C11" i="6"/>
  <c r="D53" i="2"/>
  <c r="D48" i="2"/>
  <c r="C29" i="4"/>
  <c r="C23" i="7"/>
  <c r="D50" i="2"/>
  <c r="C63" i="2"/>
  <c r="C50" i="2"/>
  <c r="D52" i="2"/>
  <c r="G35" i="3"/>
  <c r="G36" i="3" s="1"/>
  <c r="G37" i="3" s="1"/>
  <c r="C34" i="3"/>
  <c r="D34" i="3"/>
  <c r="D9" i="4"/>
  <c r="G10" i="4"/>
  <c r="D9" i="1"/>
  <c r="G10" i="1"/>
  <c r="G33" i="4"/>
  <c r="C33" i="4" s="1"/>
  <c r="D41" i="6"/>
  <c r="C41" i="6"/>
  <c r="G42" i="6"/>
  <c r="C9" i="7"/>
  <c r="F10" i="7"/>
  <c r="C49" i="2"/>
  <c r="D49" i="2"/>
  <c r="G10" i="3"/>
  <c r="D31" i="4"/>
  <c r="C48" i="2"/>
  <c r="C47" i="2"/>
  <c r="D47" i="2"/>
  <c r="D29" i="4"/>
  <c r="C46" i="2"/>
  <c r="D46" i="2"/>
  <c r="C28" i="4"/>
  <c r="D45" i="2"/>
  <c r="D33" i="3"/>
  <c r="D67" i="2"/>
  <c r="C66" i="2"/>
  <c r="D66" i="2"/>
  <c r="D65" i="2"/>
  <c r="D63" i="2"/>
  <c r="C62" i="2"/>
  <c r="D62" i="2"/>
  <c r="D9" i="3"/>
  <c r="C61" i="2"/>
  <c r="D61" i="2"/>
  <c r="C25" i="7"/>
  <c r="D59" i="2"/>
  <c r="C57" i="2"/>
  <c r="D57" i="2"/>
  <c r="D28" i="4"/>
  <c r="C56" i="2"/>
  <c r="D56" i="2"/>
  <c r="C33" i="3"/>
  <c r="C55" i="2"/>
  <c r="D55" i="2"/>
  <c r="C54" i="2"/>
  <c r="D54" i="2"/>
  <c r="G11" i="2"/>
  <c r="D11" i="2" s="1"/>
  <c r="G12" i="6"/>
  <c r="AU38" i="3"/>
  <c r="AU12" i="3"/>
  <c r="AU13" i="3"/>
  <c r="AU11" i="3"/>
  <c r="AU10" i="3"/>
  <c r="AU9" i="3"/>
  <c r="AU17" i="3"/>
  <c r="AI16" i="4"/>
  <c r="AI15" i="4"/>
  <c r="AI14" i="4"/>
  <c r="AU15" i="3" l="1"/>
  <c r="E48" i="2"/>
  <c r="AI18" i="4"/>
  <c r="E55" i="2"/>
  <c r="E57" i="2"/>
  <c r="E47" i="2"/>
  <c r="C36" i="3"/>
  <c r="E33" i="3"/>
  <c r="C35" i="3"/>
  <c r="D35" i="3"/>
  <c r="D42" i="6"/>
  <c r="C42" i="6"/>
  <c r="C39" i="6" s="1"/>
  <c r="G43" i="6"/>
  <c r="F11" i="7"/>
  <c r="C10" i="7"/>
  <c r="G34" i="4"/>
  <c r="D33" i="4"/>
  <c r="G13" i="6"/>
  <c r="C12" i="6"/>
  <c r="D12" i="6"/>
  <c r="C10" i="1"/>
  <c r="D10" i="1"/>
  <c r="G11" i="1"/>
  <c r="G11" i="4"/>
  <c r="D10" i="4"/>
  <c r="G11" i="3"/>
  <c r="D10" i="3"/>
  <c r="G38" i="3"/>
  <c r="C11" i="2"/>
  <c r="G12" i="2"/>
  <c r="D12" i="2" s="1"/>
  <c r="D39" i="6" l="1"/>
  <c r="G14" i="6"/>
  <c r="C13" i="6"/>
  <c r="D13" i="6"/>
  <c r="G12" i="3"/>
  <c r="D11" i="3"/>
  <c r="D11" i="1"/>
  <c r="C11" i="1"/>
  <c r="G12" i="1"/>
  <c r="G13" i="1" s="1"/>
  <c r="G35" i="4"/>
  <c r="D34" i="4"/>
  <c r="C34" i="4"/>
  <c r="G44" i="6"/>
  <c r="C43" i="6"/>
  <c r="D43" i="6"/>
  <c r="C11" i="7"/>
  <c r="F12" i="7"/>
  <c r="G12" i="4"/>
  <c r="G39" i="3"/>
  <c r="C12" i="2"/>
  <c r="G13" i="2"/>
  <c r="D13" i="2" s="1"/>
  <c r="E11" i="1" l="1"/>
  <c r="G36" i="4"/>
  <c r="C35" i="4"/>
  <c r="D35" i="4"/>
  <c r="D13" i="1"/>
  <c r="G14" i="1"/>
  <c r="G13" i="3"/>
  <c r="D12" i="3"/>
  <c r="G13" i="4"/>
  <c r="D12" i="4"/>
  <c r="F13" i="7"/>
  <c r="G45" i="6"/>
  <c r="G46" i="6" s="1"/>
  <c r="C44" i="6"/>
  <c r="D44" i="6"/>
  <c r="G40" i="3"/>
  <c r="G15" i="6"/>
  <c r="C13" i="2"/>
  <c r="G14" i="2"/>
  <c r="D14" i="2" s="1"/>
  <c r="G41" i="3" l="1"/>
  <c r="C40" i="3"/>
  <c r="D40" i="3"/>
  <c r="D46" i="6"/>
  <c r="G47" i="6"/>
  <c r="G48" i="6" s="1"/>
  <c r="G14" i="4"/>
  <c r="C14" i="1"/>
  <c r="D14" i="1"/>
  <c r="G15" i="1"/>
  <c r="G16" i="6"/>
  <c r="G17" i="6" s="1"/>
  <c r="D17" i="6" s="1"/>
  <c r="C15" i="6"/>
  <c r="D15" i="6"/>
  <c r="G14" i="3"/>
  <c r="G37" i="4"/>
  <c r="C14" i="2"/>
  <c r="G15" i="2"/>
  <c r="D15" i="2" s="1"/>
  <c r="AT25" i="7"/>
  <c r="AT27" i="7" s="1"/>
  <c r="AT11" i="7"/>
  <c r="E40" i="3" l="1"/>
  <c r="G15" i="3"/>
  <c r="G18" i="6"/>
  <c r="D14" i="4"/>
  <c r="G15" i="4"/>
  <c r="D48" i="6"/>
  <c r="G49" i="6"/>
  <c r="C48" i="6"/>
  <c r="D15" i="1"/>
  <c r="G16" i="1"/>
  <c r="C15" i="1"/>
  <c r="D37" i="4"/>
  <c r="G42" i="3"/>
  <c r="C15" i="2"/>
  <c r="E15" i="2" s="1"/>
  <c r="G16" i="2"/>
  <c r="AH31" i="4"/>
  <c r="E48" i="6" l="1"/>
  <c r="G43" i="3"/>
  <c r="C42" i="3"/>
  <c r="D42" i="3"/>
  <c r="D49" i="6"/>
  <c r="C49" i="6"/>
  <c r="G50" i="6"/>
  <c r="D15" i="4"/>
  <c r="G16" i="4"/>
  <c r="D16" i="1"/>
  <c r="G17" i="1"/>
  <c r="C16" i="1"/>
  <c r="G19" i="6"/>
  <c r="G16" i="3"/>
  <c r="G17" i="2"/>
  <c r="D17" i="2" s="1"/>
  <c r="AH12" i="4"/>
  <c r="AH37" i="4"/>
  <c r="AI37" i="4"/>
  <c r="AT15" i="3"/>
  <c r="AP46" i="3"/>
  <c r="AP23" i="3" s="1"/>
  <c r="G17" i="3" l="1"/>
  <c r="D17" i="1"/>
  <c r="G18" i="1"/>
  <c r="C17" i="1"/>
  <c r="D16" i="4"/>
  <c r="G17" i="4"/>
  <c r="D50" i="6"/>
  <c r="G51" i="6"/>
  <c r="C50" i="6"/>
  <c r="G20" i="6"/>
  <c r="D20" i="6" s="1"/>
  <c r="D19" i="6"/>
  <c r="C19" i="6"/>
  <c r="G44" i="3"/>
  <c r="G18" i="2"/>
  <c r="D18" i="2" s="1"/>
  <c r="AU45" i="2"/>
  <c r="AG21" i="1"/>
  <c r="AG27" i="1" s="1"/>
  <c r="AG39" i="1" s="1"/>
  <c r="AG43" i="1" s="1"/>
  <c r="AH21" i="1"/>
  <c r="AH27" i="1" s="1"/>
  <c r="AH39" i="1" s="1"/>
  <c r="AH43" i="1" s="1"/>
  <c r="AI21" i="1"/>
  <c r="AI27" i="1" s="1"/>
  <c r="AI39" i="1" s="1"/>
  <c r="AI43" i="1" s="1"/>
  <c r="D9" i="6"/>
  <c r="AS9" i="6"/>
  <c r="AT9" i="6"/>
  <c r="AU9" i="6"/>
  <c r="AR29" i="6"/>
  <c r="AS29" i="6"/>
  <c r="AT29" i="6"/>
  <c r="AU29" i="6"/>
  <c r="G45" i="3" l="1"/>
  <c r="D44" i="3"/>
  <c r="G21" i="6"/>
  <c r="G18" i="4"/>
  <c r="D18" i="4" s="1"/>
  <c r="D17" i="3"/>
  <c r="G18" i="3"/>
  <c r="D51" i="6"/>
  <c r="D18" i="1"/>
  <c r="G19" i="1"/>
  <c r="C18" i="1"/>
  <c r="C18" i="2"/>
  <c r="G19" i="2"/>
  <c r="D19" i="2" s="1"/>
  <c r="C9" i="6"/>
  <c r="D19" i="1" l="1"/>
  <c r="G20" i="1"/>
  <c r="G21" i="1" s="1"/>
  <c r="C19" i="1"/>
  <c r="G19" i="3"/>
  <c r="G46" i="3"/>
  <c r="G22" i="6"/>
  <c r="C21" i="6"/>
  <c r="D21" i="6"/>
  <c r="G20" i="2"/>
  <c r="D20" i="2" s="1"/>
  <c r="C19" i="2"/>
  <c r="AS23" i="7"/>
  <c r="B23" i="7" s="1"/>
  <c r="AS9" i="7"/>
  <c r="AS11" i="7" s="1"/>
  <c r="G23" i="6" l="1"/>
  <c r="D22" i="6"/>
  <c r="C22" i="6"/>
  <c r="G47" i="3"/>
  <c r="D46" i="3"/>
  <c r="G22" i="1"/>
  <c r="G23" i="1" s="1"/>
  <c r="D21" i="1"/>
  <c r="D19" i="3"/>
  <c r="G20" i="3"/>
  <c r="G21" i="2"/>
  <c r="D21" i="2" s="1"/>
  <c r="C20" i="2"/>
  <c r="G21" i="3" l="1"/>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D27" i="1"/>
  <c r="G25" i="2"/>
  <c r="D25" i="2" s="1"/>
  <c r="AS25" i="7"/>
  <c r="E26" i="6" l="1"/>
  <c r="G29" i="1"/>
  <c r="C28" i="1"/>
  <c r="D28" i="1"/>
  <c r="G28" i="6"/>
  <c r="C27" i="6"/>
  <c r="D27" i="6"/>
  <c r="G26" i="2"/>
  <c r="AS27" i="7"/>
  <c r="C38" i="12"/>
  <c r="C30" i="12" l="1"/>
  <c r="G29" i="6"/>
  <c r="G30" i="1"/>
  <c r="G31" i="1" s="1"/>
  <c r="D29" i="1"/>
  <c r="G27" i="2"/>
  <c r="D27" i="2" s="1"/>
  <c r="C39" i="12"/>
  <c r="AS10" i="2"/>
  <c r="AS25" i="2" s="1"/>
  <c r="AS31" i="2" s="1"/>
  <c r="AG37" i="4"/>
  <c r="AG31" i="4"/>
  <c r="AG16" i="4"/>
  <c r="C16" i="4" s="1"/>
  <c r="AG15" i="4"/>
  <c r="AG14" i="4"/>
  <c r="AG10" i="4"/>
  <c r="AG9" i="4"/>
  <c r="AS19" i="3"/>
  <c r="AS17" i="3"/>
  <c r="C41" i="12" l="1"/>
  <c r="AS33" i="2"/>
  <c r="C25" i="2"/>
  <c r="G32" i="1"/>
  <c r="C31" i="1"/>
  <c r="D31" i="1"/>
  <c r="C29" i="6"/>
  <c r="D29" i="6"/>
  <c r="C27" i="2"/>
  <c r="G28" i="2"/>
  <c r="D28" i="2" s="1"/>
  <c r="AS21" i="3"/>
  <c r="AG12" i="4"/>
  <c r="AG18" i="4"/>
  <c r="AS15" i="3"/>
  <c r="AO29" i="6"/>
  <c r="AR10" i="7"/>
  <c r="B10" i="7" s="1"/>
  <c r="AR9" i="7"/>
  <c r="B9" i="7" s="1"/>
  <c r="AS59" i="2"/>
  <c r="AS65" i="2" s="1"/>
  <c r="AS67" i="2" s="1"/>
  <c r="AR25" i="7"/>
  <c r="AR11" i="7" s="1"/>
  <c r="E31" i="1" l="1"/>
  <c r="AT12" i="7"/>
  <c r="AT13" i="7" s="1"/>
  <c r="AU12" i="7"/>
  <c r="AU13" i="7" s="1"/>
  <c r="C13" i="7" s="1"/>
  <c r="AU26" i="7"/>
  <c r="C26" i="7"/>
  <c r="C12" i="7"/>
  <c r="G33" i="1"/>
  <c r="C32" i="1"/>
  <c r="D32" i="1"/>
  <c r="G29" i="2"/>
  <c r="D29" i="2" s="1"/>
  <c r="C28" i="2"/>
  <c r="AQ11" i="7"/>
  <c r="AM9" i="7"/>
  <c r="AM10" i="7"/>
  <c r="AM12" i="7"/>
  <c r="AR17" i="3"/>
  <c r="C17" i="3" s="1"/>
  <c r="E17" i="3" s="1"/>
  <c r="AR19" i="3"/>
  <c r="C19" i="3" s="1"/>
  <c r="E19" i="3" s="1"/>
  <c r="AR44" i="3"/>
  <c r="C52" i="2"/>
  <c r="E52" i="2" s="1"/>
  <c r="AR45" i="2"/>
  <c r="C45" i="2" s="1"/>
  <c r="E45" i="2" s="1"/>
  <c r="E63" i="2"/>
  <c r="E61" i="2"/>
  <c r="E23" i="2"/>
  <c r="C20" i="6"/>
  <c r="C24" i="6"/>
  <c r="A7" i="6"/>
  <c r="A8" i="6" s="1"/>
  <c r="A9" i="6" s="1"/>
  <c r="AQ25" i="7"/>
  <c r="AF15" i="4"/>
  <c r="C15" i="4" s="1"/>
  <c r="AF14" i="4"/>
  <c r="C14" i="4" s="1"/>
  <c r="C10" i="4"/>
  <c r="C9" i="4"/>
  <c r="AF37" i="4"/>
  <c r="C37" i="4" s="1"/>
  <c r="AF31" i="4"/>
  <c r="C31" i="4" s="1"/>
  <c r="C9" i="3"/>
  <c r="E9" i="3" s="1"/>
  <c r="C10" i="3"/>
  <c r="E10" i="3" s="1"/>
  <c r="C11" i="3"/>
  <c r="C12" i="3"/>
  <c r="E12" i="3" s="1"/>
  <c r="C13" i="3"/>
  <c r="AR38" i="3"/>
  <c r="C38" i="3" s="1"/>
  <c r="AQ38" i="3"/>
  <c r="AQ15" i="3"/>
  <c r="AQ31" i="2"/>
  <c r="AQ33" i="2" s="1"/>
  <c r="AS12" i="7" s="1"/>
  <c r="AS13" i="7" s="1"/>
  <c r="AQ52" i="2"/>
  <c r="AQ45" i="2"/>
  <c r="AP45" i="2"/>
  <c r="C17" i="2"/>
  <c r="AQ17" i="2"/>
  <c r="AR10" i="2"/>
  <c r="C10" i="2" s="1"/>
  <c r="AQ10" i="2"/>
  <c r="AF37" i="1"/>
  <c r="AE37" i="1"/>
  <c r="AD37" i="1"/>
  <c r="AF13" i="1"/>
  <c r="C13" i="1" s="1"/>
  <c r="AF9" i="1"/>
  <c r="AE13" i="1"/>
  <c r="AE21" i="1" s="1"/>
  <c r="AD13" i="1"/>
  <c r="C51" i="6"/>
  <c r="AR46" i="6"/>
  <c r="C46" i="6" s="1"/>
  <c r="AR9" i="6"/>
  <c r="AQ9" i="6"/>
  <c r="AE18" i="4"/>
  <c r="AP25" i="7"/>
  <c r="AP27" i="7" s="1"/>
  <c r="AP11" i="7"/>
  <c r="AP13" i="7" s="1"/>
  <c r="AQ29" i="6"/>
  <c r="AE37" i="4"/>
  <c r="AE31" i="4"/>
  <c r="AE12" i="4"/>
  <c r="AL15" i="2"/>
  <c r="AM10" i="2"/>
  <c r="AO10" i="2"/>
  <c r="AP10" i="2"/>
  <c r="AL10" i="2"/>
  <c r="AP38" i="3"/>
  <c r="AO25" i="7"/>
  <c r="AO11" i="7"/>
  <c r="AO13" i="7" s="1"/>
  <c r="AD37" i="4"/>
  <c r="AD31" i="4"/>
  <c r="AD12" i="4"/>
  <c r="AD18" i="4"/>
  <c r="AP52" i="2"/>
  <c r="AP31" i="2"/>
  <c r="AP33" i="2" s="1"/>
  <c r="AP17" i="2"/>
  <c r="AD9" i="1"/>
  <c r="AP46" i="6"/>
  <c r="AP29" i="6"/>
  <c r="AC37" i="4"/>
  <c r="AC31" i="4"/>
  <c r="AC18" i="4"/>
  <c r="AC12" i="4"/>
  <c r="AO47" i="3"/>
  <c r="AO21" i="3"/>
  <c r="AO23" i="3" s="1"/>
  <c r="AO19" i="3"/>
  <c r="AO9" i="3"/>
  <c r="AO10" i="3"/>
  <c r="AO11" i="3"/>
  <c r="AO13" i="3"/>
  <c r="AO38" i="3"/>
  <c r="AO52" i="2"/>
  <c r="AO45" i="2"/>
  <c r="AO31" i="2"/>
  <c r="AO33" i="2" s="1"/>
  <c r="AO17" i="2"/>
  <c r="AC37" i="1"/>
  <c r="AC13" i="1"/>
  <c r="AC9" i="1"/>
  <c r="AO46" i="6"/>
  <c r="AO39"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46" i="6"/>
  <c r="AN39" i="6"/>
  <c r="AN29" i="6"/>
  <c r="AM29" i="6"/>
  <c r="AN9" i="6"/>
  <c r="AM13" i="3"/>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46" i="6"/>
  <c r="AM39" i="6"/>
  <c r="AM9" i="6"/>
  <c r="AK10" i="7"/>
  <c r="AK9" i="7"/>
  <c r="Z37" i="4"/>
  <c r="Z16" i="4"/>
  <c r="Z9" i="4"/>
  <c r="AL19" i="3"/>
  <c r="AL17" i="3"/>
  <c r="AL29" i="2"/>
  <c r="AL28" i="2"/>
  <c r="AL27" i="2"/>
  <c r="AK25" i="7"/>
  <c r="AK11" i="7" s="1"/>
  <c r="E35" i="4"/>
  <c r="Z15" i="4"/>
  <c r="Z14" i="4"/>
  <c r="Z10" i="4"/>
  <c r="Z31" i="4"/>
  <c r="AL44" i="3"/>
  <c r="AL46" i="3" s="1"/>
  <c r="AL38" i="3"/>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46" i="6"/>
  <c r="AL39" i="6"/>
  <c r="AL29" i="6"/>
  <c r="AL9" i="6"/>
  <c r="AL17" i="2"/>
  <c r="AJ10" i="7"/>
  <c r="AJ9" i="7"/>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H46" i="6"/>
  <c r="AI46" i="6"/>
  <c r="AJ46" i="6"/>
  <c r="AK46" i="6"/>
  <c r="AH39" i="6"/>
  <c r="AI39" i="6"/>
  <c r="AJ39" i="6"/>
  <c r="AK39" i="6"/>
  <c r="AK29" i="6"/>
  <c r="AH9" i="6"/>
  <c r="AI9" i="6"/>
  <c r="AJ9" i="6"/>
  <c r="AK9" i="6"/>
  <c r="AI21" i="3"/>
  <c r="AI23" i="3"/>
  <c r="AI47" i="3"/>
  <c r="S47" i="3"/>
  <c r="T47" i="3"/>
  <c r="R47" i="3"/>
  <c r="Q47" i="3"/>
  <c r="AI12" i="7"/>
  <c r="AI10" i="7"/>
  <c r="AI9" i="7"/>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29" i="6"/>
  <c r="AB52" i="2"/>
  <c r="AB21" i="2"/>
  <c r="AB23" i="2"/>
  <c r="AB20" i="2"/>
  <c r="AB19" i="2"/>
  <c r="AB18" i="2"/>
  <c r="AB15" i="2"/>
  <c r="AB13" i="2"/>
  <c r="AB12" i="2"/>
  <c r="AB11" i="2"/>
  <c r="AD20" i="2"/>
  <c r="AD19" i="2"/>
  <c r="AD23" i="2"/>
  <c r="AD18" i="2"/>
  <c r="AE9" i="3"/>
  <c r="AI11" i="2"/>
  <c r="AH10" i="7"/>
  <c r="AH9" i="7"/>
  <c r="W37" i="4"/>
  <c r="W16" i="4"/>
  <c r="W15" i="4"/>
  <c r="W14" i="4"/>
  <c r="W10" i="4"/>
  <c r="W9" i="4"/>
  <c r="W31" i="4"/>
  <c r="AI17" i="3"/>
  <c r="AI10" i="3"/>
  <c r="AI13" i="3"/>
  <c r="AI11" i="3"/>
  <c r="AI9" i="3"/>
  <c r="AI38" i="3"/>
  <c r="AH17" i="3"/>
  <c r="AH21" i="3" s="1"/>
  <c r="AI29" i="2"/>
  <c r="AI27" i="2"/>
  <c r="AI20" i="2"/>
  <c r="AI19" i="2"/>
  <c r="AI15" i="2"/>
  <c r="AI13" i="2"/>
  <c r="AI12" i="2"/>
  <c r="AI52" i="2"/>
  <c r="AI45" i="2"/>
  <c r="W9" i="1"/>
  <c r="AI29" i="6"/>
  <c r="AG10" i="7"/>
  <c r="AG9" i="7"/>
  <c r="AG25" i="7"/>
  <c r="V16" i="4"/>
  <c r="V15" i="4"/>
  <c r="V14" i="4"/>
  <c r="V10" i="4"/>
  <c r="V9" i="4"/>
  <c r="V37" i="4"/>
  <c r="V31" i="4"/>
  <c r="AH46" i="3"/>
  <c r="AH13" i="3"/>
  <c r="AH11" i="3"/>
  <c r="AH10" i="3"/>
  <c r="AH9" i="3"/>
  <c r="AH38" i="3"/>
  <c r="AH15" i="2"/>
  <c r="AH13" i="2"/>
  <c r="AH12" i="2"/>
  <c r="AH11" i="2"/>
  <c r="AH52" i="2"/>
  <c r="AH45" i="2"/>
  <c r="V9" i="1"/>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46" i="6"/>
  <c r="AE46" i="6"/>
  <c r="AF46" i="6"/>
  <c r="AG46" i="6"/>
  <c r="AG29" i="6"/>
  <c r="AG9" i="6"/>
  <c r="P9" i="1"/>
  <c r="AE25" i="7"/>
  <c r="AE11" i="7"/>
  <c r="U25" i="7"/>
  <c r="AD25" i="7"/>
  <c r="T37" i="4"/>
  <c r="T31" i="4"/>
  <c r="AF52" i="2"/>
  <c r="T12" i="4"/>
  <c r="AF15" i="3"/>
  <c r="T18" i="4"/>
  <c r="AF45" i="2"/>
  <c r="AF39" i="6"/>
  <c r="AF29" i="6"/>
  <c r="AF9" i="6"/>
  <c r="U29" i="6"/>
  <c r="AE17" i="3"/>
  <c r="AE21" i="3" s="1"/>
  <c r="O10" i="1"/>
  <c r="O9" i="1" s="1"/>
  <c r="AD10" i="7"/>
  <c r="AD9" i="7"/>
  <c r="S16" i="4"/>
  <c r="S15" i="4"/>
  <c r="S14" i="4"/>
  <c r="S10" i="4"/>
  <c r="S9" i="4"/>
  <c r="S37" i="4"/>
  <c r="S31" i="4"/>
  <c r="AE13" i="3"/>
  <c r="AE11" i="3"/>
  <c r="AE10" i="3"/>
  <c r="AE52" i="2"/>
  <c r="AE45" i="2"/>
  <c r="AE39" i="6"/>
  <c r="AE29" i="6"/>
  <c r="AE9" i="6"/>
  <c r="AC25" i="7"/>
  <c r="R18" i="4"/>
  <c r="R12" i="4"/>
  <c r="R37" i="4"/>
  <c r="R31" i="4"/>
  <c r="AD52" i="2"/>
  <c r="AD45" i="2"/>
  <c r="Z9" i="6"/>
  <c r="AD39" i="6"/>
  <c r="AD29" i="6"/>
  <c r="AD9" i="6"/>
  <c r="Q37" i="1"/>
  <c r="P37" i="1"/>
  <c r="O37" i="1"/>
  <c r="N37" i="1"/>
  <c r="M37" i="1"/>
  <c r="L37" i="1"/>
  <c r="K37" i="1"/>
  <c r="J37" i="1"/>
  <c r="I37" i="1"/>
  <c r="Q13" i="1"/>
  <c r="P13" i="1"/>
  <c r="O13" i="1"/>
  <c r="N13" i="1"/>
  <c r="M13" i="1"/>
  <c r="L13" i="1"/>
  <c r="K13" i="1"/>
  <c r="J13" i="1"/>
  <c r="I13" i="1"/>
  <c r="Q9" i="1"/>
  <c r="N9" i="1"/>
  <c r="M9" i="1"/>
  <c r="L9" i="1"/>
  <c r="K9" i="1"/>
  <c r="J9" i="1"/>
  <c r="I9" i="1"/>
  <c r="AC46" i="6"/>
  <c r="AB9" i="7"/>
  <c r="AB10" i="7"/>
  <c r="AB25" i="7"/>
  <c r="AB11" i="7" s="1"/>
  <c r="Q16" i="4"/>
  <c r="Q15" i="4"/>
  <c r="Q14" i="4"/>
  <c r="Q10" i="4"/>
  <c r="Q9" i="4"/>
  <c r="Q31" i="4"/>
  <c r="Q37" i="4"/>
  <c r="AC44" i="3"/>
  <c r="AC46" i="3" s="1"/>
  <c r="AC38" i="3"/>
  <c r="AC52" i="2"/>
  <c r="AC45" i="2"/>
  <c r="AC39" i="6"/>
  <c r="AC29" i="6"/>
  <c r="AC9" i="6"/>
  <c r="AA10" i="7"/>
  <c r="AA9" i="7"/>
  <c r="AA27" i="7"/>
  <c r="AA29" i="6"/>
  <c r="P16" i="4"/>
  <c r="P15" i="4"/>
  <c r="P14" i="4"/>
  <c r="P10" i="4"/>
  <c r="P9" i="4"/>
  <c r="AB19" i="3"/>
  <c r="AB12" i="3"/>
  <c r="AB11" i="3"/>
  <c r="AB10" i="3"/>
  <c r="AB9" i="3"/>
  <c r="AB29" i="2"/>
  <c r="AB28" i="2"/>
  <c r="AB27" i="2"/>
  <c r="P31" i="4"/>
  <c r="AB38" i="3"/>
  <c r="Z29" i="6"/>
  <c r="P37" i="4"/>
  <c r="AB45" i="2"/>
  <c r="AB46" i="6"/>
  <c r="AB39" i="6"/>
  <c r="AB29" i="6"/>
  <c r="AB9" i="6"/>
  <c r="M18" i="4"/>
  <c r="M12" i="4"/>
  <c r="M37" i="4"/>
  <c r="M31" i="4"/>
  <c r="Z11" i="7"/>
  <c r="Z25" i="7"/>
  <c r="O37" i="4"/>
  <c r="O31" i="4"/>
  <c r="O18" i="4"/>
  <c r="O12" i="4"/>
  <c r="AA38" i="3"/>
  <c r="AA15" i="3"/>
  <c r="AA52" i="2"/>
  <c r="AA45" i="2"/>
  <c r="AA17" i="2"/>
  <c r="AA10" i="2"/>
  <c r="AA46" i="6"/>
  <c r="AA39" i="6"/>
  <c r="AA9" i="6"/>
  <c r="AA17" i="6"/>
  <c r="Y25" i="7"/>
  <c r="Y11" i="7"/>
  <c r="Z38" i="3"/>
  <c r="Z15" i="3"/>
  <c r="Z52" i="2"/>
  <c r="Z45" i="2"/>
  <c r="Z17" i="2"/>
  <c r="Z10" i="2"/>
  <c r="Z46" i="6"/>
  <c r="Y46" i="6"/>
  <c r="X46" i="6"/>
  <c r="Z39" i="6"/>
  <c r="X25" i="7"/>
  <c r="X11" i="7"/>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17" i="6" l="1"/>
  <c r="AU27" i="7"/>
  <c r="AE17" i="6"/>
  <c r="Y21" i="1"/>
  <c r="AR47" i="3"/>
  <c r="C47" i="3" s="1"/>
  <c r="E47" i="3" s="1"/>
  <c r="C44" i="3"/>
  <c r="E44" i="3" s="1"/>
  <c r="AQ27" i="7"/>
  <c r="B25" i="7"/>
  <c r="AQ13" i="7"/>
  <c r="B13" i="7" s="1"/>
  <c r="B11" i="7"/>
  <c r="V17" i="6"/>
  <c r="AC17" i="6"/>
  <c r="G34" i="1"/>
  <c r="C33" i="1"/>
  <c r="D33" i="1"/>
  <c r="AJ21" i="3"/>
  <c r="G30" i="2"/>
  <c r="C29" i="2"/>
  <c r="E29" i="2" s="1"/>
  <c r="AP17" i="6"/>
  <c r="Z25" i="2"/>
  <c r="Z31" i="2" s="1"/>
  <c r="Z33" i="2" s="1"/>
  <c r="AJ17" i="6"/>
  <c r="V25" i="2"/>
  <c r="V31" i="2" s="1"/>
  <c r="V33" i="2" s="1"/>
  <c r="AD17" i="2"/>
  <c r="AD25" i="2" s="1"/>
  <c r="AD31" i="2" s="1"/>
  <c r="AD33" i="2" s="1"/>
  <c r="U21" i="1"/>
  <c r="U29" i="1" s="1"/>
  <c r="X18" i="4"/>
  <c r="S18" i="4"/>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I67" i="2" s="1"/>
  <c r="AI33"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J11" i="7"/>
  <c r="AD21" i="1"/>
  <c r="AD27" i="1" s="1"/>
  <c r="AD39" i="1" s="1"/>
  <c r="AD43" i="1" s="1"/>
  <c r="AD11" i="7"/>
  <c r="D9" i="7"/>
  <c r="AA12" i="4"/>
  <c r="W12" i="4"/>
  <c r="Z18" i="4"/>
  <c r="Y18" i="4"/>
  <c r="E37" i="4"/>
  <c r="AO15" i="3"/>
  <c r="AI15" i="3"/>
  <c r="AL21" i="3"/>
  <c r="AC15" i="3"/>
  <c r="AR21" i="3"/>
  <c r="AC17" i="2"/>
  <c r="AA59" i="2"/>
  <c r="AA65" i="2" s="1"/>
  <c r="AA67" i="2" s="1"/>
  <c r="AK17" i="2"/>
  <c r="AM59" i="2"/>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H67" i="2" s="1"/>
  <c r="AH33" i="2" s="1"/>
  <c r="AO59" i="2"/>
  <c r="AO65" i="2" s="1"/>
  <c r="AO67" i="2" s="1"/>
  <c r="Y59" i="2"/>
  <c r="Y65" i="2" s="1"/>
  <c r="Y67" i="2" s="1"/>
  <c r="AQ59" i="2"/>
  <c r="AQ65" i="2" s="1"/>
  <c r="AQ67" i="2" s="1"/>
  <c r="AI10" i="2"/>
  <c r="AN59" i="2"/>
  <c r="AN65" i="2" s="1"/>
  <c r="AN67" i="2" s="1"/>
  <c r="AJ59" i="2"/>
  <c r="AJ65" i="2" s="1"/>
  <c r="AJ67" i="2" s="1"/>
  <c r="E9" i="1"/>
  <c r="O21" i="1"/>
  <c r="O29" i="1" s="1"/>
  <c r="AB21" i="1"/>
  <c r="AB27" i="1" s="1"/>
  <c r="AB39" i="1" s="1"/>
  <c r="AB43" i="1" s="1"/>
  <c r="E44" i="6"/>
  <c r="Y17" i="6"/>
  <c r="S17" i="6"/>
  <c r="M17" i="6"/>
  <c r="AD17" i="6"/>
  <c r="AM17" i="6"/>
  <c r="AN17" i="6"/>
  <c r="AR17" i="6"/>
  <c r="AB40" i="3"/>
  <c r="AB17" i="3" s="1"/>
  <c r="AB21" i="3" s="1"/>
  <c r="AR46" i="3"/>
  <c r="E11" i="2"/>
  <c r="E28" i="2"/>
  <c r="E18" i="2"/>
  <c r="E19" i="2"/>
  <c r="E20" i="2"/>
  <c r="E21" i="2"/>
  <c r="E22" i="2"/>
  <c r="E27" i="2"/>
  <c r="E28" i="4"/>
  <c r="E29" i="4"/>
  <c r="E31" i="4"/>
  <c r="E41" i="6"/>
  <c r="D23" i="7"/>
  <c r="E62" i="2"/>
  <c r="D24" i="7"/>
  <c r="AI25" i="7"/>
  <c r="AI27" i="7" s="1"/>
  <c r="AM11" i="7"/>
  <c r="AM13" i="7" s="1"/>
  <c r="AG11" i="7"/>
  <c r="AN11" i="7"/>
  <c r="AN25" i="7"/>
  <c r="AI11" i="7"/>
  <c r="AI13" i="7" s="1"/>
  <c r="AF11" i="7"/>
  <c r="E46" i="2"/>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E46" i="6"/>
  <c r="A10" i="6"/>
  <c r="A11" i="6" s="1"/>
  <c r="Y29" i="1" l="1"/>
  <c r="Y27" i="1"/>
  <c r="AB25" i="2"/>
  <c r="AB31" i="2" s="1"/>
  <c r="AB33" i="2" s="1"/>
  <c r="AG65" i="2"/>
  <c r="AG67" i="2" s="1"/>
  <c r="AG33" i="2" s="1"/>
  <c r="AM65" i="2"/>
  <c r="AM67" i="2" s="1"/>
  <c r="AM33" i="2" s="1"/>
  <c r="AN12" i="7" s="1"/>
  <c r="AN13" i="7" s="1"/>
  <c r="AK65" i="2"/>
  <c r="AK67" i="2" s="1"/>
  <c r="AK26" i="7" s="1"/>
  <c r="AK12" i="7" s="1"/>
  <c r="AK13" i="7" s="1"/>
  <c r="Y39" i="1"/>
  <c r="Y43" i="1" s="1"/>
  <c r="C21" i="3"/>
  <c r="E21" i="3" s="1"/>
  <c r="AR23" i="3"/>
  <c r="AC25" i="2"/>
  <c r="AC31" i="2" s="1"/>
  <c r="AC33" i="2" s="1"/>
  <c r="AD12" i="7" s="1"/>
  <c r="AD13" i="7" s="1"/>
  <c r="D25" i="7"/>
  <c r="G35" i="1"/>
  <c r="C34" i="1"/>
  <c r="D34" i="1"/>
  <c r="C23" i="3"/>
  <c r="E23" i="3" s="1"/>
  <c r="C46" i="3"/>
  <c r="E46" i="3" s="1"/>
  <c r="C59" i="2"/>
  <c r="E59" i="2" s="1"/>
  <c r="AF29" i="1"/>
  <c r="C29" i="1" s="1"/>
  <c r="E29" i="1" s="1"/>
  <c r="C21" i="1"/>
  <c r="E21" i="1" s="1"/>
  <c r="G31" i="2"/>
  <c r="D31" i="2" s="1"/>
  <c r="U27" i="1"/>
  <c r="U39" i="1" s="1"/>
  <c r="U43" i="1" s="1"/>
  <c r="J29" i="1"/>
  <c r="AF25" i="2"/>
  <c r="AF31" i="2" s="1"/>
  <c r="AF33" i="2" s="1"/>
  <c r="AG25" i="2"/>
  <c r="AG31" i="2" s="1"/>
  <c r="U12" i="7"/>
  <c r="U13" i="7" s="1"/>
  <c r="AF27" i="1"/>
  <c r="AF39" i="1" s="1"/>
  <c r="AF43" i="1" s="1"/>
  <c r="Z26" i="7"/>
  <c r="Z27" i="7" s="1"/>
  <c r="Q29" i="1"/>
  <c r="P29" i="1"/>
  <c r="V12" i="7"/>
  <c r="V13" i="7" s="1"/>
  <c r="W12" i="7"/>
  <c r="W13" i="7" s="1"/>
  <c r="N12" i="7"/>
  <c r="N13" i="7" s="1"/>
  <c r="M12" i="7"/>
  <c r="M13" i="7" s="1"/>
  <c r="AB26" i="7"/>
  <c r="AB27" i="7" s="1"/>
  <c r="AI25" i="2"/>
  <c r="AI31" i="2" s="1"/>
  <c r="S29" i="1"/>
  <c r="AH25" i="2"/>
  <c r="AH31" i="2" s="1"/>
  <c r="X26" i="7"/>
  <c r="X27" i="7" s="1"/>
  <c r="Z12" i="7"/>
  <c r="Z13" i="7" s="1"/>
  <c r="AE26" i="7"/>
  <c r="AE27" i="7" s="1"/>
  <c r="AD29" i="1"/>
  <c r="O12" i="7"/>
  <c r="O13" i="7" s="1"/>
  <c r="O27" i="1"/>
  <c r="O39" i="1" s="1"/>
  <c r="O43" i="1" s="1"/>
  <c r="T26" i="7"/>
  <c r="T27" i="7" s="1"/>
  <c r="V26" i="7"/>
  <c r="V27" i="7" s="1"/>
  <c r="AA12" i="7"/>
  <c r="AA13" i="7" s="1"/>
  <c r="AD26" i="7"/>
  <c r="AD27" i="7" s="1"/>
  <c r="AJ25" i="2"/>
  <c r="AJ31" i="2" s="1"/>
  <c r="AJ33" i="2" s="1"/>
  <c r="K27" i="1"/>
  <c r="K39" i="1" s="1"/>
  <c r="K43" i="1" s="1"/>
  <c r="S26" i="7"/>
  <c r="S27" i="7" s="1"/>
  <c r="AC26" i="7"/>
  <c r="AC27" i="7" s="1"/>
  <c r="L12" i="7"/>
  <c r="L13" i="7" s="1"/>
  <c r="Y26" i="7"/>
  <c r="Y27" i="7" s="1"/>
  <c r="Q12" i="7"/>
  <c r="Q13" i="7" s="1"/>
  <c r="U26" i="7"/>
  <c r="U27" i="7" s="1"/>
  <c r="K12" i="7"/>
  <c r="K13" i="7" s="1"/>
  <c r="AH26" i="7"/>
  <c r="AH27" i="7" s="1"/>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E17" i="2"/>
  <c r="M29" i="1"/>
  <c r="W27" i="1"/>
  <c r="W39" i="1" s="1"/>
  <c r="W43" i="1" s="1"/>
  <c r="T27" i="1"/>
  <c r="T39" i="1" s="1"/>
  <c r="T43" i="1" s="1"/>
  <c r="X27" i="1"/>
  <c r="X39" i="1" s="1"/>
  <c r="X43" i="1" s="1"/>
  <c r="R29" i="1"/>
  <c r="N29" i="1"/>
  <c r="V27" i="1"/>
  <c r="V39" i="1" s="1"/>
  <c r="V43" i="1" s="1"/>
  <c r="L27" i="1"/>
  <c r="L39" i="1" s="1"/>
  <c r="L43" i="1" s="1"/>
  <c r="I29" i="1"/>
  <c r="A12" i="6"/>
  <c r="AG26" i="7" l="1"/>
  <c r="AG27" i="7" s="1"/>
  <c r="AK33" i="2"/>
  <c r="AJ12" i="7" s="1"/>
  <c r="AJ13" i="7" s="1"/>
  <c r="AB12" i="7"/>
  <c r="AB13" i="7" s="1"/>
  <c r="AG12" i="7"/>
  <c r="AC12" i="7"/>
  <c r="AC13" i="7" s="1"/>
  <c r="E34" i="1"/>
  <c r="C27" i="1"/>
  <c r="E27" i="1" s="1"/>
  <c r="C65" i="2"/>
  <c r="E65" i="2" s="1"/>
  <c r="AF12" i="7"/>
  <c r="AF13" i="7" s="1"/>
  <c r="AH12" i="7"/>
  <c r="AH13" i="7" s="1"/>
  <c r="G36" i="1"/>
  <c r="G37" i="1" s="1"/>
  <c r="C35" i="1"/>
  <c r="D35" i="1"/>
  <c r="AE12" i="7"/>
  <c r="AE13" i="7" s="1"/>
  <c r="G32" i="2"/>
  <c r="C31" i="2"/>
  <c r="E31" i="2" s="1"/>
  <c r="AK27" i="7"/>
  <c r="AN26" i="7"/>
  <c r="AO26" i="7"/>
  <c r="AO27" i="7" s="1"/>
  <c r="E25" i="2"/>
  <c r="E11" i="6"/>
  <c r="A13" i="6"/>
  <c r="E35" i="1" l="1"/>
  <c r="G38" i="1"/>
  <c r="G39" i="1" s="1"/>
  <c r="D37" i="1"/>
  <c r="C37" i="1"/>
  <c r="C67" i="2"/>
  <c r="E67" i="2" s="1"/>
  <c r="AR26" i="7"/>
  <c r="G33" i="2"/>
  <c r="AN27" i="7"/>
  <c r="A14" i="6"/>
  <c r="E12" i="6"/>
  <c r="E37" i="1" l="1"/>
  <c r="B26" i="7"/>
  <c r="D26" i="7" s="1"/>
  <c r="AR12" i="7"/>
  <c r="B12" i="7" s="1"/>
  <c r="D12" i="7" s="1"/>
  <c r="AR27" i="7"/>
  <c r="B27" i="7" s="1"/>
  <c r="D27" i="7" s="1"/>
  <c r="C33" i="2"/>
  <c r="D33" i="2"/>
  <c r="G40" i="1"/>
  <c r="G41" i="1" s="1"/>
  <c r="D39" i="1"/>
  <c r="C39" i="1"/>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A27" i="6" l="1"/>
  <c r="A28" i="6" l="1"/>
  <c r="A29" i="6" l="1"/>
  <c r="D10" i="7" l="1"/>
  <c r="D36" i="3" l="1"/>
  <c r="E36" i="3" s="1"/>
  <c r="D13" i="3"/>
  <c r="E13" i="3" s="1"/>
  <c r="AX15" i="3" l="1"/>
  <c r="C15" i="3" s="1"/>
  <c r="D15" i="3" l="1"/>
  <c r="E15" i="3" s="1"/>
  <c r="D38" i="3" l="1"/>
  <c r="E38" i="3" s="1"/>
</calcChain>
</file>

<file path=xl/sharedStrings.xml><?xml version="1.0" encoding="utf-8"?>
<sst xmlns="http://schemas.openxmlformats.org/spreadsheetml/2006/main" count="1200" uniqueCount="264">
  <si>
    <t>CHILE</t>
  </si>
  <si>
    <t>Contracted Annual Energy (GWh)</t>
  </si>
  <si>
    <t>Start Date</t>
  </si>
  <si>
    <t>End Date</t>
  </si>
  <si>
    <t>Energy Supply</t>
  </si>
  <si>
    <t>Regulated</t>
  </si>
  <si>
    <t>Enel Dx. y EEPA</t>
  </si>
  <si>
    <t>Mix</t>
  </si>
  <si>
    <t>Pelumpen*</t>
  </si>
  <si>
    <t>Unregulated</t>
  </si>
  <si>
    <t>Codelco I</t>
  </si>
  <si>
    <t>Codelco II</t>
  </si>
  <si>
    <t>1,800-1,000</t>
  </si>
  <si>
    <t>Mix-Renewable</t>
  </si>
  <si>
    <t>CMPC</t>
  </si>
  <si>
    <t>Walmart</t>
  </si>
  <si>
    <t>Renewable</t>
  </si>
  <si>
    <t>Bio Bio</t>
  </si>
  <si>
    <t>Antofagasta Minerals - Minera Zaldivar</t>
  </si>
  <si>
    <t>BHP</t>
  </si>
  <si>
    <t>CCU</t>
  </si>
  <si>
    <t>Collahuasi</t>
  </si>
  <si>
    <t>230-650</t>
  </si>
  <si>
    <t>Puerto Angamos</t>
  </si>
  <si>
    <t>Aguas Pacífico</t>
  </si>
  <si>
    <t>Antofagasta Minerals - Minera Centinela</t>
  </si>
  <si>
    <t>Codelco III</t>
  </si>
  <si>
    <t>(*) Considers 427 GWh associated to ILAP regulated PPAs.</t>
  </si>
  <si>
    <t>PERÚ</t>
  </si>
  <si>
    <t>Contracted Capacity (MW)</t>
  </si>
  <si>
    <t>Luz Del Sur I</t>
  </si>
  <si>
    <t>Thermal</t>
  </si>
  <si>
    <t>Pluz I</t>
  </si>
  <si>
    <t>Luz Del Sur II</t>
  </si>
  <si>
    <t>Distriluz</t>
  </si>
  <si>
    <t>Pluz II</t>
  </si>
  <si>
    <t>Electro Oriente*</t>
  </si>
  <si>
    <t>98 - 118</t>
  </si>
  <si>
    <t>Others Regulated</t>
  </si>
  <si>
    <t>Distributors (Bilateral Agreements)</t>
  </si>
  <si>
    <t>Tejidos San Jacinto</t>
  </si>
  <si>
    <t>Agro Industrial Paramonga</t>
  </si>
  <si>
    <t>Cencosud Perú</t>
  </si>
  <si>
    <t>Operadores Concentrados Peruanos</t>
  </si>
  <si>
    <t>Metro 2 Lima</t>
  </si>
  <si>
    <t>Volcan*</t>
  </si>
  <si>
    <t>Medifarma</t>
  </si>
  <si>
    <t>(*) Consider the minimum and maximum capacity contracted per year for these clients.</t>
  </si>
  <si>
    <t>Power Plants</t>
  </si>
  <si>
    <t>MW</t>
  </si>
  <si>
    <t>Technology</t>
  </si>
  <si>
    <t>Region</t>
  </si>
  <si>
    <t>Aconcagua Complex</t>
  </si>
  <si>
    <t>Hydro</t>
  </si>
  <si>
    <t>Valparaíso Region</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</si>
  <si>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</si>
  <si>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</si>
  <si>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</si>
  <si>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</si>
  <si>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</si>
  <si>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</si>
  <si>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</si>
  <si>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</si>
  <si>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</si>
  <si>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</si>
  <si>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</si>
  <si>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</si>
  <si>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</si>
  <si>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</si>
  <si>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</si>
  <si>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</si>
  <si>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</si>
  <si>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</si>
  <si>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</si>
  <si>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</si>
  <si>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</si>
  <si>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</si>
  <si>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</si>
  <si>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</si>
  <si>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</si>
  <si>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</si>
  <si>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</si>
  <si>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San Juan</t>
  </si>
  <si>
    <t>Wind farm</t>
  </si>
  <si>
    <t>Atacama Region</t>
  </si>
  <si>
    <t>Totoral</t>
  </si>
  <si>
    <t>Coquimbo Region</t>
  </si>
  <si>
    <t>Total Wind farm Installed Capacity</t>
  </si>
  <si>
    <t>Total Chile Installed Capacity</t>
  </si>
  <si>
    <t>Fenix</t>
  </si>
  <si>
    <t>Central Coast Region</t>
  </si>
  <si>
    <t>Total Perú Installed Capacity</t>
  </si>
  <si>
    <t>Total Colbún Installed Capacity</t>
  </si>
  <si>
    <t>PHYSICAL SALES</t>
  </si>
  <si>
    <t>4Q23</t>
  </si>
  <si>
    <t>4Q24</t>
  </si>
  <si>
    <t>Var (%)</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</si>
  <si>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</si>
  <si>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</si>
  <si>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</si>
  <si>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</si>
  <si>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</si>
  <si>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</si>
  <si>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</si>
  <si>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</si>
  <si>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</si>
  <si>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</si>
  <si>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</si>
  <si>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</si>
  <si>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</si>
  <si>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</si>
  <si>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</si>
  <si>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</si>
  <si>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</si>
  <si>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</si>
  <si>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</si>
  <si>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</si>
  <si>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</si>
  <si>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</si>
  <si>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</si>
  <si>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</si>
  <si>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</si>
  <si>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</si>
  <si>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</si>
  <si>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</si>
  <si>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</si>
  <si>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</si>
  <si>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</si>
  <si>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</si>
  <si>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</si>
  <si>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</si>
  <si>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</si>
  <si>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</si>
  <si>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</si>
  <si>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</si>
  <si>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</si>
  <si>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1Q24</t>
  </si>
  <si>
    <t>2Q24</t>
  </si>
  <si>
    <t>3Q24</t>
  </si>
  <si>
    <t>(GWh)</t>
  </si>
  <si>
    <t>Total Physical Sales</t>
  </si>
  <si>
    <t>Regulated Customers</t>
  </si>
  <si>
    <t>Unregulated Customers</t>
  </si>
  <si>
    <t>Sales to the Spot Market</t>
  </si>
  <si>
    <t>-</t>
  </si>
  <si>
    <t>Capacity Sales</t>
  </si>
  <si>
    <t>Total Generation</t>
  </si>
  <si>
    <t>Hydraulic</t>
  </si>
  <si>
    <t xml:space="preserve">    Gas</t>
  </si>
  <si>
    <t xml:space="preserve">    Diesel</t>
  </si>
  <si>
    <t xml:space="preserve">    Coal</t>
  </si>
  <si>
    <t>REVS</t>
  </si>
  <si>
    <t xml:space="preserve">    Wind (*)</t>
  </si>
  <si>
    <t xml:space="preserve">    Solar(**)</t>
  </si>
  <si>
    <t>Spot Market Purchases</t>
  </si>
  <si>
    <t>Sales - Purchases to the Spot Market</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</si>
  <si>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</si>
  <si>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</si>
  <si>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</si>
  <si>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</si>
  <si>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</si>
  <si>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</si>
  <si>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</si>
  <si>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</si>
  <si>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</si>
  <si>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</si>
  <si>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</si>
  <si>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</si>
  <si>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</si>
  <si>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</si>
  <si>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</si>
  <si>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</si>
  <si>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</si>
  <si>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</si>
  <si>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</si>
  <si>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</si>
  <si>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</si>
  <si>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</si>
  <si>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</si>
  <si>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</si>
  <si>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</si>
  <si>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</si>
  <si>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</si>
  <si>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</si>
  <si>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</si>
  <si>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</si>
  <si>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</si>
  <si>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</si>
  <si>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</si>
  <si>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</si>
  <si>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</si>
  <si>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</si>
  <si>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t>
  </si>
  <si>
    <t>Regulated Customers Sales</t>
  </si>
  <si>
    <t>Nonregulated Customers Sales</t>
  </si>
  <si>
    <t>Energy and Capacity Sales</t>
  </si>
  <si>
    <t>RAW MATERIALS AND CONSUMABLES USED</t>
  </si>
  <si>
    <t>Other Operating Expenses</t>
  </si>
  <si>
    <t>GROSS PROFIT</t>
  </si>
  <si>
    <t>Other Expenses, by nature</t>
  </si>
  <si>
    <t>OPERATING INCOME (LOSS)</t>
  </si>
  <si>
    <t>Var %</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</si>
  <si>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</si>
  <si>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</si>
  <si>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</si>
  <si>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</si>
  <si>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</si>
  <si>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</si>
  <si>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</si>
  <si>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</si>
  <si>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</si>
  <si>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</si>
  <si>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</si>
  <si>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</si>
  <si>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</si>
  <si>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</si>
  <si>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</si>
  <si>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</si>
  <si>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</si>
  <si>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</si>
  <si>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</si>
  <si>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</si>
  <si>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</si>
  <si>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</si>
  <si>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</si>
  <si>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</si>
  <si>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</si>
  <si>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</si>
  <si>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</si>
  <si>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</si>
  <si>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</si>
  <si>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1Q25</t>
  </si>
  <si>
    <t>2Q25</t>
  </si>
  <si>
    <t>2026-2044</t>
  </si>
  <si>
    <t>2024-2025</t>
  </si>
  <si>
    <t>2026-2035</t>
  </si>
  <si>
    <t>Parque Arauco</t>
  </si>
  <si>
    <t>Horizonte</t>
  </si>
  <si>
    <t xml:space="preserve">    Solar</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</si>
  <si>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</si>
  <si>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</si>
  <si>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</si>
  <si>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</si>
  <si>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</si>
  <si>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</si>
  <si>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</si>
  <si>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</si>
  <si>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</si>
  <si>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</si>
  <si>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</si>
  <si>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</si>
  <si>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</si>
  <si>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3Q25</t>
  </si>
  <si>
    <t>(*) Corresponds to the energy purchased from the Punta Palmeras (wind) and Imelsa (solar) power plants.</t>
  </si>
  <si>
    <t>Peruana de Moldeados *</t>
  </si>
  <si>
    <t>7 - 14</t>
  </si>
  <si>
    <t>6 - 49</t>
  </si>
  <si>
    <t>107 - 122</t>
  </si>
  <si>
    <t>2010-2025</t>
  </si>
  <si>
    <t>3,300-3,630</t>
  </si>
  <si>
    <t>2022-2024</t>
  </si>
  <si>
    <t>2025-2031</t>
  </si>
  <si>
    <t>Aguas Andinas</t>
  </si>
  <si>
    <t>4Q25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</si>
</sst>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2" formatCode="_ &quot;$&quot;* #,##0_ ;_ &quot;$&quot;* \-#,##0_ ;_ &quot;$&quot;* &quot;-&quot;_ ;_ @_ "/>
    <numFmt numFmtId="41" formatCode="_ * #,##0_ ;_ * \-#,##0_ ;_ * &quot;-&quot;_ ;_ @_ "/>
    <numFmt numFmtId="43" formatCode="_ * #,##0.00_ ;_ * \-#,##0.00_ ;_ * &quot;-&quot;??_ ;_ @_ "/>
    <numFmt numFmtId="164" formatCode="_(* #,##0.00_);_(* \(#,##0.00\);_(* &quot;-&quot;??_);_(@_)"/>
    <numFmt numFmtId="165" formatCode="&quot;$&quot;\ #,##0.00;[Red]\-&quot;$&quot;\ #,##0.00"/>
    <numFmt numFmtId="166" formatCode="_-* #,##0_-;\-* #,##0_-;_-* &quot;-&quot;_-;_-@_-"/>
    <numFmt numFmtId="167" formatCode="_-* #,##0.00_-;\-* #,##0.00_-;_-* &quot;-&quot;??_-;_-@_-"/>
    <numFmt numFmtId="168" formatCode="_-&quot;$&quot;* #,##0_-;\-&quot;$&quot;* #,##0_-;_-&quot;$&quot;* &quot;-&quot;_-;_-@_-"/>
    <numFmt numFmtId="169" formatCode="_-&quot;$&quot;* #,##0.00_-;\-&quot;$&quot;* #,##0.00_-;_-&quot;$&quot;* &quot;-&quot;??_-;_-@_-"/>
    <numFmt numFmtId="170" formatCode="0.0"/>
    <numFmt numFmtId="171" formatCode="_(* #,##0.0_);_(* \(#,##0.0\);_(* &quot;-&quot;??_);_(@_)"/>
    <numFmt numFmtId="172" formatCode="_ * #,##0.0_ ;_ * \-#,##0.0_ ;_ * &quot;-&quot;_ ;_ @_ "/>
    <numFmt numFmtId="173" formatCode="_(* #,##0_);_(* \(#,##0\);_(* &quot;-&quot;??_);_(@_)"/>
    <numFmt numFmtId="174" formatCode="0%_);\(0%\)"/>
    <numFmt numFmtId="175" formatCode="0.000"/>
    <numFmt numFmtId="176" formatCode="_ * #,##0.0_ ;_ * \-#,##0.0_ ;_ * &quot;-&quot;?_ ;_ @_ "/>
    <numFmt numFmtId="177" formatCode="\-"/>
    <numFmt numFmtId="178" formatCode="_-[$€-2]\ * #,##0.00_-;\-[$€-2]\ * #,##0.00_-;_-[$€-2]\ * &quot;-&quot;??_-"/>
    <numFmt numFmtId="179" formatCode="#,##0.0"/>
    <numFmt numFmtId="180" formatCode="_-* #,##0.0_-;\-* #,##0.0_-;_-* &quot;-&quot;?_-;_-@_-"/>
    <numFmt numFmtId="181" formatCode="_-* #,##0_-;\-* #,##0_-;_-* &quot;-&quot;??_-;_-@_-"/>
    <numFmt numFmtId="182" formatCode="General_)"/>
    <numFmt numFmtId="183" formatCode="#,##0_);\(#,##0\);&quot;-       &quot;"/>
    <numFmt numFmtId="184" formatCode="0.000_)"/>
    <numFmt numFmtId="185" formatCode="#,##0_)_%;\(#,##0\)_%;"/>
    <numFmt numFmtId="186" formatCode="_._.* #,##0.0_)_%;_._.* \(#,##0.0\)_%;_._.* \ .0_)_%"/>
    <numFmt numFmtId="187" formatCode="#,##0.0_)_%;\(#,##0.0\)_%;\ \ .0_)_%"/>
    <numFmt numFmtId="188" formatCode="_._.* #,##0.0_)_%;_._.* \(#,##0.0\)_%"/>
    <numFmt numFmtId="189" formatCode="#,##0.00_)_%;\(#,##0.00\)_%;\ \ .00_)_%"/>
    <numFmt numFmtId="190" formatCode="_._.* #,##0.00_)_%;_._.* \(#,##0.00\)_%"/>
    <numFmt numFmtId="191" formatCode="_._.* #,##0.000_)_%;_._.* \(#,##0.000\)_%;_._.* \ .000_)_%"/>
    <numFmt numFmtId="192" formatCode="#,##0.000_)_%;\(#,##0.000\)_%;\ \ .000_)_%"/>
    <numFmt numFmtId="193" formatCode="_._.* #,##0.000_)_%;_._.* \(#,##0.000\)_%"/>
    <numFmt numFmtId="194" formatCode="mmmm\ d\,\ yyyy"/>
    <numFmt numFmtId="195" formatCode="_ * #,##0_ ;_ * \-#,##0_ ;_ * &quot;-&quot;??_ ;_ @_ "/>
    <numFmt numFmtId="196" formatCode="#,##0.0000_);\(#,##0.0000\);&quot;-            &quot;"/>
    <numFmt numFmtId="197" formatCode="0.00000000000"/>
    <numFmt numFmtId="198" formatCode="_._.* \(#,##0\)_%;_._.* #,##0_)_%;_._.* 0_)_%;_._.@_)_%"/>
    <numFmt numFmtId="199" formatCode="_._.&quot;$&quot;* \(#,##0\)_%;_._.&quot;$&quot;* #,##0_)_%;_._.&quot;$&quot;* 0_)_%;_._.@_)_%"/>
    <numFmt numFmtId="200" formatCode="* \(#,##0\);* #,##0_);&quot;-&quot;??_);@"/>
    <numFmt numFmtId="201" formatCode="&quot;$&quot;* #,##0_)_%;&quot;$&quot;* \(#,##0\)_%;&quot;$&quot;* &quot;-&quot;??_)_%;@_)_%"/>
    <numFmt numFmtId="202" formatCode="_._.&quot;$&quot;* #,##0.0_)_%;_._.&quot;$&quot;* \(#,##0.0\)_%;_._.&quot;$&quot;* \ .0_)_%"/>
    <numFmt numFmtId="203" formatCode="&quot;$&quot;* #,##0.0_)_%;&quot;$&quot;* \(#,##0.0\)_%;&quot;$&quot;* \ .0_)_%"/>
    <numFmt numFmtId="204" formatCode="_._.&quot;$&quot;* #,##0.0_)_%;_._.&quot;$&quot;* \(#,##0.0\)_%"/>
    <numFmt numFmtId="205" formatCode="&quot;$&quot;* #,##0.00_);&quot;$&quot;* \(#,##0.00\)"/>
    <numFmt numFmtId="206" formatCode="&quot;$&quot;* #,##0.00_)_%;&quot;$&quot;* \(#,##0.00\)_%;&quot;$&quot;* \ .00_)_%"/>
    <numFmt numFmtId="207" formatCode="_._.&quot;$&quot;* #,##0.00_)_%;_._.&quot;$&quot;* \(#,##0.00\)_%"/>
    <numFmt numFmtId="208" formatCode="_._.&quot;$&quot;* #,##0.000_)_%;_._.&quot;$&quot;* \(#,##0.000\)_%;_._.&quot;$&quot;* \ .000_)_%"/>
    <numFmt numFmtId="209" formatCode="&quot;$&quot;* #,##0.000_)_%;&quot;$&quot;* \(#,##0.000\)_%;&quot;$&quot;* \ .000_)_%"/>
    <numFmt numFmtId="210" formatCode="_._.&quot;$&quot;* #,##0.000_)_%;_._.&quot;$&quot;* \(#,##0.000\)_%"/>
    <numFmt numFmtId="211" formatCode="&quot;$&quot;#,##0\ ;\(&quot;$&quot;#,##0\)"/>
    <numFmt numFmtId="212" formatCode="* #,##0_);* \(#,##0\);&quot;-&quot;??_);@"/>
    <numFmt numFmtId="213" formatCode="&quot;$&quot;#,##0"/>
    <numFmt numFmtId="214" formatCode="#."/>
    <numFmt numFmtId="215" formatCode="_ [$€-2]\ * #,##0.00_ ;_ [$€-2]\ * \-#,##0.00_ ;_ [$€-2]\ * &quot;-&quot;??_ "/>
    <numFmt numFmtId="216" formatCode="\ "/>
    <numFmt numFmtId="217" formatCode="#,##0\ &quot;pta&quot;;\-#,##0\ &quot;pta&quot;"/>
    <numFmt numFmtId="218" formatCode="\$#.00"/>
    <numFmt numFmtId="219" formatCode="0.00_)"/>
    <numFmt numFmtId="220" formatCode="_(0_)%;\(0\)%;\ \ _)\%"/>
    <numFmt numFmtId="221" formatCode="_._._(* 0_)%;_._.\(* 0\)%;_._._(* \ _)\%"/>
    <numFmt numFmtId="222" formatCode="0_)%;\(0\)%"/>
    <numFmt numFmtId="223" formatCode="_(0.0_)%;\(0.0\)%;\ \ .0_)%"/>
    <numFmt numFmtId="224" formatCode="_._._(* 0.0_)%;_._.\(* 0.0\)%;_._._(* \ .0_)%"/>
    <numFmt numFmtId="225" formatCode="_(0.0_)%;\(0.0\)%"/>
    <numFmt numFmtId="226" formatCode="_(0.00_)%;\(0.00\)%;\ \ .00_)%"/>
    <numFmt numFmtId="227" formatCode="_._._(* 0.00_)%;_._.\(* 0.00\)%;_._._(* \ .00_)%"/>
    <numFmt numFmtId="228" formatCode="_(0.00_)%;\(0.00\)%"/>
    <numFmt numFmtId="229" formatCode="_(0.000_)%;\(0.000\)%;\ \ .000_)%"/>
    <numFmt numFmtId="230" formatCode="_._._(* 0.000_)%;_._.\(* 0.000\)%;_._._(* \ .000_)%"/>
    <numFmt numFmtId="231" formatCode="_(0.000_)%;\(0.000\)%"/>
    <numFmt numFmtId="232" formatCode="%#.00"/>
    <numFmt numFmtId="233" formatCode="_-* #,##0\ &quot;Pts&quot;_-;\-* #,##0\ &quot;Pts&quot;_-;_-* &quot;-&quot;\ &quot;Pts&quot;_-;_-@_-"/>
    <numFmt numFmtId="234" formatCode="_-* #,##0.00\ &quot;Pts&quot;_-;\-* #,##0.00\ &quot;Pts&quot;_-;_-* &quot;-&quot;??\ &quot;Pts&quot;_-;_-@_-"/>
    <numFmt numFmtId="235" formatCode="_(* #,##0_);_(* \(#,##0\);_(* \ _)"/>
    <numFmt numFmtId="236" formatCode="_(* #,##0.0_);_(* \(#,##0.0\);_(* \ .0_)"/>
    <numFmt numFmtId="237" formatCode="_(* #,##0.00_);_(* \(#,##0.00\);_(* \ .00_)"/>
    <numFmt numFmtId="238" formatCode="_(* #,##0.000_);_(* \(#,##0.000\);_(* \ .000_)"/>
    <numFmt numFmtId="239" formatCode="_(&quot;$&quot;* #,##0_);_(&quot;$&quot;* \(#,##0\);_(&quot;$&quot;* \ _)"/>
    <numFmt numFmtId="240" formatCode="_(&quot;$&quot;* #,##0.0_);_(&quot;$&quot;* \(#,##0.0\);_(&quot;$&quot;* \ .0_)"/>
    <numFmt numFmtId="241" formatCode="_(&quot;$&quot;* #,##0.00_);_(&quot;$&quot;* \(#,##0.00\);_(&quot;$&quot;* \ .00_)"/>
    <numFmt numFmtId="242" formatCode="_(&quot;$&quot;* #,##0.000_);_(&quot;$&quot;* \(#,##0.000\);_(&quot;$&quot;* \ .000_)"/>
    <numFmt numFmtId="243" formatCode="_(* #,##0.0_);_(* \(#,##0.0\);_(* &quot;-&quot;?_);_(@_)"/>
  </numFmts>
  <fonts count="100">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
      <b/>
      <sz val="10"/>
      <color theme="0" tint="-0.249977111117893"/>
      <name val="Trebuchet MS"/>
      <family val="2"/>
    </font>
    <font>
      <sz val="10"/>
      <color theme="1" tint="0.34998626667073579"/>
      <name val="Trebuchet MS"/>
      <family val="2"/>
    </font>
    <font>
      <sz val="10"/>
      <color theme="0" tint="-0.249977111117893"/>
      <name val="Trebuchet MS"/>
      <family val="2"/>
    </font>
    <font>
      <b/>
      <sz val="10"/>
      <color theme="0"/>
      <name val="Trebuchet MS"/>
      <family val="2"/>
    </font>
    <font>
      <b/>
      <sz val="10"/>
      <color theme="1" tint="0.34998626667073579"/>
      <name val="Trebuchet MS"/>
      <family val="2"/>
    </font>
    <font>
      <sz val="10"/>
      <color theme="1" tint="0.34998626667073579"/>
      <name val="Trebuchet MS"/>
      <family val="2"/>
    </font>
    <font>
      <b/>
      <sz val="10"/>
      <color theme="0"/>
      <name val="Trebuchet MS"/>
      <family val="2"/>
    </font>
    <font>
      <b/>
      <sz val="10"/>
      <color theme="1" tint="0.34998626667073579"/>
      <name val="Trebuchet MS"/>
      <family val="2"/>
    </font>
    <font>
      <sz val="10"/>
      <color theme="0" tint="-0.249977111117893"/>
      <name val="Trebuchet MS"/>
      <family val="2"/>
    </font>
    <font>
      <sz val="10"/>
      <color theme="0"/>
      <name val="Trebuchet MS"/>
      <family val="2"/>
    </font>
    <font>
      <sz val="9"/>
      <color theme="1" tint="0.34998626667073579"/>
      <name val="Trebuchet MS"/>
      <family val="2"/>
    </font>
    <font>
      <b/>
      <sz val="10"/>
      <color theme="0" tint="-0.249977111117893"/>
      <name val="Trebuchet MS"/>
      <family val="2"/>
    </font>
    <font>
      <sz val="10"/>
      <color theme="1"/>
      <name val="Trebuchet MS"/>
      <family val="2"/>
    </font>
    <font>
      <sz val="11"/>
      <color theme="1" tint="0.34998626667073579"/>
      <name val="Trebuchet MS"/>
      <family val="2"/>
    </font>
  </fonts>
  <fills count="6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
      <patternFill patternType="solid">
        <fgColor theme="0"/>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203">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7" fontId="8" fillId="0" borderId="0" applyFont="0" applyFill="0" applyBorder="0" applyAlignment="0" applyProtection="0"/>
    <xf numFmtId="167" fontId="1" fillId="0" borderId="0" applyFont="0" applyFill="0" applyBorder="0" applyAlignment="0" applyProtection="0"/>
    <xf numFmtId="0" fontId="8" fillId="0" borderId="0"/>
    <xf numFmtId="167" fontId="8" fillId="0" borderId="0" applyFont="0" applyFill="0" applyBorder="0" applyAlignment="0" applyProtection="0"/>
    <xf numFmtId="43" fontId="1" fillId="0" borderId="0" applyFont="0" applyFill="0" applyBorder="0" applyAlignment="0" applyProtection="0"/>
    <xf numFmtId="0" fontId="8" fillId="0" borderId="0"/>
    <xf numFmtId="178"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7"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4" fontId="46" fillId="0" borderId="0"/>
    <xf numFmtId="184" fontId="46" fillId="0" borderId="0"/>
    <xf numFmtId="184" fontId="46" fillId="0" borderId="0"/>
    <xf numFmtId="184" fontId="46" fillId="0" borderId="0"/>
    <xf numFmtId="184" fontId="46" fillId="0" borderId="0"/>
    <xf numFmtId="184" fontId="46" fillId="0" borderId="0"/>
    <xf numFmtId="184" fontId="46" fillId="0" borderId="0"/>
    <xf numFmtId="184" fontId="46" fillId="0" borderId="0"/>
    <xf numFmtId="185" fontId="8" fillId="0" borderId="0" applyFont="0" applyFill="0" applyBorder="0" applyAlignment="0" applyProtection="0"/>
    <xf numFmtId="186" fontId="47" fillId="0" borderId="0" applyFont="0" applyFill="0" applyBorder="0" applyAlignment="0" applyProtection="0"/>
    <xf numFmtId="187" fontId="48" fillId="0" borderId="0" applyFont="0" applyFill="0" applyBorder="0" applyAlignment="0" applyProtection="0"/>
    <xf numFmtId="188" fontId="47" fillId="0" borderId="0" applyFont="0" applyFill="0" applyBorder="0" applyAlignment="0" applyProtection="0"/>
    <xf numFmtId="39" fontId="49" fillId="0" borderId="0" applyFont="0" applyFill="0" applyBorder="0" applyAlignment="0" applyProtection="0"/>
    <xf numFmtId="189" fontId="48" fillId="0" borderId="0" applyFont="0" applyFill="0" applyBorder="0" applyAlignment="0" applyProtection="0"/>
    <xf numFmtId="190" fontId="50" fillId="0" borderId="0" applyFont="0" applyFill="0" applyBorder="0" applyAlignment="0" applyProtection="0"/>
    <xf numFmtId="191" fontId="50" fillId="0" borderId="0" applyFont="0" applyFill="0" applyBorder="0" applyAlignment="0" applyProtection="0"/>
    <xf numFmtId="192" fontId="48" fillId="0" borderId="0" applyFont="0" applyFill="0" applyBorder="0" applyAlignment="0" applyProtection="0"/>
    <xf numFmtId="193" fontId="50"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81" fontId="8" fillId="0" borderId="0" applyFont="0" applyFill="0" applyBorder="0" applyAlignment="0" applyProtection="0"/>
    <xf numFmtId="43" fontId="13" fillId="0" borderId="0" applyFont="0" applyFill="0" applyBorder="0" applyAlignment="0" applyProtection="0"/>
    <xf numFmtId="167" fontId="8" fillId="0" borderId="0" applyFont="0" applyFill="0" applyBorder="0" applyAlignment="0" applyProtection="0"/>
    <xf numFmtId="43" fontId="1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13" fillId="0" borderId="0" applyFont="0" applyFill="0" applyBorder="0" applyAlignment="0" applyProtection="0"/>
    <xf numFmtId="183" fontId="8" fillId="0" borderId="0" applyFont="0" applyFill="0" applyBorder="0" applyAlignment="0" applyProtection="0"/>
    <xf numFmtId="195" fontId="8" fillId="0" borderId="0" applyFont="0" applyFill="0" applyBorder="0" applyAlignment="0" applyProtection="0"/>
    <xf numFmtId="196" fontId="7" fillId="0" borderId="0" applyFont="0" applyFill="0" applyBorder="0" applyAlignment="0" applyProtection="0"/>
    <xf numFmtId="194" fontId="7" fillId="0" borderId="0" applyFont="0" applyFill="0" applyBorder="0" applyAlignment="0" applyProtection="0"/>
    <xf numFmtId="43" fontId="51" fillId="0" borderId="0" applyFont="0" applyFill="0" applyBorder="0" applyAlignment="0" applyProtection="0"/>
    <xf numFmtId="197" fontId="7" fillId="0" borderId="0" applyFont="0" applyFill="0" applyBorder="0" applyAlignment="0" applyProtection="0"/>
    <xf numFmtId="195" fontId="8" fillId="0" borderId="0" applyFont="0" applyFill="0" applyBorder="0" applyAlignment="0" applyProtection="0"/>
    <xf numFmtId="182" fontId="8" fillId="0" borderId="0" applyFont="0" applyFill="0" applyBorder="0" applyAlignment="0" applyProtection="0"/>
    <xf numFmtId="43" fontId="13"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8" fontId="54" fillId="0" borderId="0" applyFill="0" applyBorder="0" applyProtection="0"/>
    <xf numFmtId="199" fontId="47" fillId="0" borderId="0" applyFont="0" applyFill="0" applyBorder="0" applyAlignment="0" applyProtection="0"/>
    <xf numFmtId="200" fontId="51" fillId="0" borderId="0" applyFill="0" applyBorder="0" applyProtection="0"/>
    <xf numFmtId="200" fontId="51" fillId="0" borderId="17" applyFill="0" applyProtection="0"/>
    <xf numFmtId="200" fontId="51" fillId="0" borderId="18" applyFill="0" applyProtection="0"/>
    <xf numFmtId="201" fontId="8" fillId="0" borderId="0" applyFont="0" applyFill="0" applyBorder="0" applyAlignment="0" applyProtection="0"/>
    <xf numFmtId="202" fontId="50" fillId="0" borderId="0" applyFont="0" applyFill="0" applyBorder="0" applyAlignment="0" applyProtection="0"/>
    <xf numFmtId="203" fontId="48" fillId="0" borderId="0" applyFont="0" applyFill="0" applyBorder="0" applyAlignment="0" applyProtection="0"/>
    <xf numFmtId="204" fontId="50" fillId="0" borderId="0" applyFont="0" applyFill="0" applyBorder="0" applyAlignment="0" applyProtection="0"/>
    <xf numFmtId="205" fontId="49" fillId="0" borderId="0" applyFont="0" applyFill="0" applyBorder="0" applyAlignment="0" applyProtection="0"/>
    <xf numFmtId="206" fontId="48" fillId="0" borderId="0" applyFont="0" applyFill="0" applyBorder="0" applyAlignment="0" applyProtection="0"/>
    <xf numFmtId="207" fontId="50" fillId="0" borderId="0" applyFont="0" applyFill="0" applyBorder="0" applyAlignment="0" applyProtection="0"/>
    <xf numFmtId="208" fontId="50" fillId="0" borderId="0" applyFont="0" applyFill="0" applyBorder="0" applyAlignment="0" applyProtection="0"/>
    <xf numFmtId="209" fontId="48" fillId="0" borderId="0" applyFont="0" applyFill="0" applyBorder="0" applyAlignment="0" applyProtection="0"/>
    <xf numFmtId="210" fontId="50" fillId="0" borderId="0" applyFont="0" applyFill="0" applyBorder="0" applyAlignment="0" applyProtection="0"/>
    <xf numFmtId="211" fontId="52" fillId="0" borderId="0" applyFont="0" applyFill="0" applyBorder="0" applyAlignment="0" applyProtection="0"/>
    <xf numFmtId="0" fontId="52" fillId="0" borderId="0" applyFont="0" applyFill="0" applyBorder="0" applyAlignment="0" applyProtection="0"/>
    <xf numFmtId="212" fontId="51" fillId="0" borderId="0" applyFill="0" applyBorder="0" applyProtection="0"/>
    <xf numFmtId="212" fontId="51" fillId="0" borderId="17" applyFill="0" applyProtection="0"/>
    <xf numFmtId="212" fontId="51" fillId="0" borderId="18" applyFill="0" applyProtection="0"/>
    <xf numFmtId="173" fontId="8" fillId="0" borderId="0" applyFont="0" applyFill="0" applyBorder="0" applyAlignment="0" applyProtection="0"/>
    <xf numFmtId="213" fontId="8" fillId="0" borderId="0" applyFont="0" applyFill="0" applyBorder="0" applyAlignment="0" applyProtection="0"/>
    <xf numFmtId="0" fontId="55" fillId="0" borderId="0">
      <protection locked="0"/>
    </xf>
    <xf numFmtId="214" fontId="56" fillId="0" borderId="0">
      <protection locked="0"/>
    </xf>
    <xf numFmtId="214" fontId="56" fillId="0" borderId="0">
      <protection locked="0"/>
    </xf>
    <xf numFmtId="0" fontId="57" fillId="0" borderId="0" applyNumberFormat="0" applyFill="0" applyBorder="0" applyAlignment="0" applyProtection="0"/>
    <xf numFmtId="215"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6"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43" fontId="7" fillId="0" borderId="0" applyFont="0" applyFill="0" applyBorder="0" applyAlignment="0" applyProtection="0"/>
    <xf numFmtId="217" fontId="8" fillId="0" borderId="0" applyFont="0" applyFill="0" applyBorder="0" applyAlignment="0" applyProtection="0"/>
    <xf numFmtId="218" fontId="55" fillId="0" borderId="0">
      <protection locked="0"/>
    </xf>
    <xf numFmtId="211" fontId="52" fillId="0" borderId="0" applyFont="0" applyFill="0" applyBorder="0" applyAlignment="0" applyProtection="0"/>
    <xf numFmtId="0" fontId="35" fillId="0" borderId="0"/>
    <xf numFmtId="182" fontId="64" fillId="0" borderId="0"/>
    <xf numFmtId="219"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20" fontId="50" fillId="0" borderId="0" applyFont="0" applyFill="0" applyBorder="0" applyAlignment="0" applyProtection="0"/>
    <xf numFmtId="221" fontId="47" fillId="0" borderId="0" applyFont="0" applyFill="0" applyBorder="0" applyAlignment="0" applyProtection="0"/>
    <xf numFmtId="222" fontId="43" fillId="0" borderId="0" applyFont="0" applyFill="0" applyBorder="0" applyAlignment="0" applyProtection="0"/>
    <xf numFmtId="174" fontId="8" fillId="0" borderId="0" applyFont="0" applyFill="0" applyBorder="0" applyAlignment="0" applyProtection="0"/>
    <xf numFmtId="10" fontId="8" fillId="0" borderId="0" applyFont="0" applyFill="0" applyBorder="0" applyAlignment="0" applyProtection="0"/>
    <xf numFmtId="223" fontId="50" fillId="0" borderId="0" applyFont="0" applyFill="0" applyBorder="0" applyAlignment="0" applyProtection="0"/>
    <xf numFmtId="224" fontId="47" fillId="0" borderId="0" applyFont="0" applyFill="0" applyBorder="0" applyAlignment="0" applyProtection="0"/>
    <xf numFmtId="225" fontId="50" fillId="0" borderId="0" applyFont="0" applyFill="0" applyBorder="0" applyAlignment="0" applyProtection="0"/>
    <xf numFmtId="226" fontId="50" fillId="0" borderId="0" applyFont="0" applyFill="0" applyBorder="0" applyAlignment="0" applyProtection="0"/>
    <xf numFmtId="227" fontId="47" fillId="0" borderId="0" applyFont="0" applyFill="0" applyBorder="0" applyAlignment="0" applyProtection="0"/>
    <xf numFmtId="228" fontId="50" fillId="0" borderId="0" applyFont="0" applyFill="0" applyBorder="0" applyAlignment="0" applyProtection="0"/>
    <xf numFmtId="229" fontId="50" fillId="0" borderId="0" applyFont="0" applyFill="0" applyBorder="0" applyAlignment="0" applyProtection="0"/>
    <xf numFmtId="230" fontId="47" fillId="0" borderId="0" applyFont="0" applyFill="0" applyBorder="0" applyAlignment="0" applyProtection="0"/>
    <xf numFmtId="231"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2"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9"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2"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233" fontId="7" fillId="0" borderId="0" applyFont="0" applyFill="0" applyBorder="0" applyAlignment="0" applyProtection="0"/>
    <xf numFmtId="234" fontId="7" fillId="0" borderId="0" applyFont="0" applyFill="0" applyBorder="0" applyAlignment="0" applyProtection="0"/>
    <xf numFmtId="0" fontId="77" fillId="0" borderId="0" applyNumberForma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242"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7"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1" fillId="58" borderId="15" applyNumberFormat="0" applyAlignment="0" applyProtection="0"/>
    <xf numFmtId="167" fontId="8" fillId="0" borderId="0" applyFont="0" applyFill="0" applyBorder="0" applyAlignment="0" applyProtection="0"/>
    <xf numFmtId="200" fontId="51" fillId="0" borderId="17" applyFill="0" applyProtection="0"/>
    <xf numFmtId="212"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41" fontId="8" fillId="0" borderId="0" applyFont="0" applyFill="0" applyBorder="0" applyAlignment="0" applyProtection="0"/>
    <xf numFmtId="0" fontId="1" fillId="0" borderId="0"/>
    <xf numFmtId="182" fontId="64"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81" fillId="0" borderId="25" applyNumberFormat="0" applyFill="0" applyAlignment="0" applyProtection="0"/>
    <xf numFmtId="167"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6" fontId="83" fillId="0" borderId="0" applyFont="0" applyFill="0" applyBorder="0" applyAlignment="0" applyProtection="0"/>
    <xf numFmtId="9" fontId="8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4" fontId="42" fillId="61" borderId="27">
      <alignment horizontal="center" vertical="center" wrapText="1"/>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2" fontId="55" fillId="0" borderId="0">
      <protection locked="0"/>
    </xf>
    <xf numFmtId="0" fontId="73" fillId="0" borderId="27">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0" fontId="8" fillId="0" borderId="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1"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0" fontId="51" fillId="0" borderId="17" applyFill="0" applyProtection="0"/>
    <xf numFmtId="200" fontId="51" fillId="0" borderId="17" applyFill="0" applyProtection="0"/>
    <xf numFmtId="212" fontId="51" fillId="0" borderId="17" applyFill="0" applyProtection="0"/>
    <xf numFmtId="212"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2" fontId="51" fillId="0" borderId="17" applyFill="0" applyProtection="0"/>
    <xf numFmtId="212" fontId="51" fillId="0" borderId="17" applyFill="0" applyProtection="0"/>
    <xf numFmtId="200" fontId="51" fillId="0" borderId="17" applyFill="0" applyProtection="0"/>
    <xf numFmtId="200"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43" fontId="1" fillId="0" borderId="0" applyFont="0" applyFill="0" applyBorder="0" applyAlignment="0" applyProtection="0"/>
    <xf numFmtId="0" fontId="73" fillId="0" borderId="19">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0" fontId="51" fillId="0" borderId="17" applyFill="0" applyProtection="0"/>
    <xf numFmtId="200" fontId="51" fillId="0" borderId="17" applyFill="0" applyProtection="0"/>
    <xf numFmtId="212" fontId="51" fillId="0" borderId="17" applyFill="0" applyProtection="0"/>
    <xf numFmtId="212"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41"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33" applyNumberFormat="0" applyAlignment="0" applyProtection="0">
      <alignment horizontal="left" vertical="center"/>
    </xf>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xf numFmtId="0" fontId="57" fillId="0" borderId="34"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14" fontId="42" fillId="61" borderId="30">
      <alignment horizontal="center" vertical="center" wrapText="1"/>
    </xf>
    <xf numFmtId="0" fontId="73" fillId="0" borderId="30">
      <alignment horizont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73" fillId="0" borderId="30">
      <alignment horizont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cellStyleXfs>
  <cellXfs count="216">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70" fontId="2" fillId="2" borderId="0" xfId="0" applyNumberFormat="1" applyFont="1" applyFill="1"/>
    <xf numFmtId="171" fontId="2" fillId="2" borderId="0" xfId="0" applyNumberFormat="1" applyFont="1" applyFill="1" applyAlignment="1">
      <alignment horizontal="right" vertical="center"/>
    </xf>
    <xf numFmtId="171" fontId="4" fillId="5" borderId="0" xfId="0" applyNumberFormat="1" applyFont="1" applyFill="1"/>
    <xf numFmtId="170" fontId="4" fillId="4" borderId="0" xfId="0" applyNumberFormat="1" applyFont="1" applyFill="1"/>
    <xf numFmtId="0" fontId="5" fillId="6" borderId="0" xfId="0" applyFont="1" applyFill="1"/>
    <xf numFmtId="0" fontId="2" fillId="6" borderId="0" xfId="0" applyFont="1" applyFill="1"/>
    <xf numFmtId="172" fontId="2" fillId="2" borderId="0" xfId="1" applyNumberFormat="1" applyFont="1" applyFill="1"/>
    <xf numFmtId="172" fontId="2" fillId="3" borderId="0" xfId="1" applyNumberFormat="1" applyFont="1" applyFill="1"/>
    <xf numFmtId="172" fontId="4" fillId="5" borderId="0" xfId="1" applyNumberFormat="1" applyFont="1" applyFill="1"/>
    <xf numFmtId="171" fontId="4" fillId="4" borderId="0" xfId="0" applyNumberFormat="1" applyFont="1" applyFill="1"/>
    <xf numFmtId="170" fontId="2" fillId="2" borderId="0" xfId="1" applyNumberFormat="1" applyFont="1" applyFill="1" applyBorder="1" applyAlignment="1">
      <alignment horizontal="right" vertical="center"/>
    </xf>
    <xf numFmtId="170" fontId="4" fillId="5" borderId="0" xfId="1" applyNumberFormat="1" applyFont="1" applyFill="1"/>
    <xf numFmtId="0" fontId="6" fillId="7" borderId="0" xfId="0" applyFont="1" applyFill="1"/>
    <xf numFmtId="173" fontId="4" fillId="5" borderId="0" xfId="0" applyNumberFormat="1" applyFont="1" applyFill="1"/>
    <xf numFmtId="173" fontId="2" fillId="2" borderId="0" xfId="0" applyNumberFormat="1" applyFont="1" applyFill="1" applyAlignment="1">
      <alignment horizontal="right" vertical="center"/>
    </xf>
    <xf numFmtId="173" fontId="2" fillId="3" borderId="0" xfId="0" applyNumberFormat="1" applyFont="1" applyFill="1"/>
    <xf numFmtId="173" fontId="6" fillId="7" borderId="0" xfId="0" applyNumberFormat="1" applyFont="1" applyFill="1" applyAlignment="1">
      <alignment horizontal="right" vertical="center"/>
    </xf>
    <xf numFmtId="0" fontId="6" fillId="2" borderId="0" xfId="0" applyFont="1" applyFill="1"/>
    <xf numFmtId="173"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70" fontId="2" fillId="3" borderId="0" xfId="0" applyNumberFormat="1" applyFont="1" applyFill="1"/>
    <xf numFmtId="170" fontId="2" fillId="2" borderId="0" xfId="0" applyNumberFormat="1" applyFont="1" applyFill="1" applyAlignment="1">
      <alignment horizontal="right" vertical="center"/>
    </xf>
    <xf numFmtId="174" fontId="2" fillId="2" borderId="0" xfId="2" applyNumberFormat="1" applyFont="1" applyFill="1"/>
    <xf numFmtId="174" fontId="2" fillId="2" borderId="0" xfId="2" applyNumberFormat="1" applyFont="1" applyFill="1" applyBorder="1" applyAlignment="1">
      <alignment horizontal="right" vertical="center"/>
    </xf>
    <xf numFmtId="174" fontId="4" fillId="5" borderId="0" xfId="2" applyNumberFormat="1" applyFont="1" applyFill="1"/>
    <xf numFmtId="174" fontId="2" fillId="3" borderId="0" xfId="0" applyNumberFormat="1" applyFont="1" applyFill="1"/>
    <xf numFmtId="174" fontId="2" fillId="3" borderId="0" xfId="2" applyNumberFormat="1" applyFont="1" applyFill="1"/>
    <xf numFmtId="0" fontId="4" fillId="3" borderId="0" xfId="0" applyFont="1" applyFill="1" applyAlignment="1">
      <alignment horizontal="left"/>
    </xf>
    <xf numFmtId="171" fontId="4" fillId="3" borderId="0" xfId="0" applyNumberFormat="1" applyFont="1" applyFill="1"/>
    <xf numFmtId="174" fontId="4" fillId="3" borderId="0" xfId="2" applyNumberFormat="1" applyFont="1" applyFill="1"/>
    <xf numFmtId="171" fontId="2" fillId="2" borderId="0" xfId="0" applyNumberFormat="1" applyFont="1" applyFill="1"/>
    <xf numFmtId="174"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4" fontId="2" fillId="2" borderId="0" xfId="2" applyNumberFormat="1" applyFont="1" applyFill="1" applyAlignment="1">
      <alignment horizontal="right"/>
    </xf>
    <xf numFmtId="174" fontId="4" fillId="4" borderId="0" xfId="2" applyNumberFormat="1" applyFont="1" applyFill="1" applyAlignment="1">
      <alignment horizontal="right"/>
    </xf>
    <xf numFmtId="175" fontId="2" fillId="3" borderId="0" xfId="0" applyNumberFormat="1" applyFont="1" applyFill="1"/>
    <xf numFmtId="171" fontId="2" fillId="3" borderId="0" xfId="0" applyNumberFormat="1" applyFont="1" applyFill="1"/>
    <xf numFmtId="176" fontId="2" fillId="3" borderId="0" xfId="0" applyNumberFormat="1" applyFont="1" applyFill="1"/>
    <xf numFmtId="9" fontId="2" fillId="3" borderId="0" xfId="2" applyFont="1" applyFill="1"/>
    <xf numFmtId="174" fontId="6" fillId="7" borderId="0" xfId="2" applyNumberFormat="1" applyFont="1" applyFill="1" applyAlignment="1">
      <alignment horizontal="right"/>
    </xf>
    <xf numFmtId="41"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7" fontId="2" fillId="2" borderId="0" xfId="0" applyNumberFormat="1" applyFont="1" applyFill="1"/>
    <xf numFmtId="0" fontId="4" fillId="4" borderId="0" xfId="0" applyFont="1" applyFill="1" applyAlignment="1">
      <alignment horizontal="center" vertical="center"/>
    </xf>
    <xf numFmtId="173" fontId="2" fillId="2" borderId="0" xfId="8" applyNumberFormat="1" applyFont="1" applyFill="1" applyBorder="1" applyAlignment="1">
      <alignment horizontal="center" vertical="center"/>
    </xf>
    <xf numFmtId="171" fontId="2" fillId="3" borderId="0" xfId="8" applyNumberFormat="1" applyFont="1" applyFill="1"/>
    <xf numFmtId="171" fontId="2" fillId="2" borderId="0" xfId="0" applyNumberFormat="1" applyFont="1" applyFill="1" applyAlignment="1">
      <alignment horizontal="right"/>
    </xf>
    <xf numFmtId="174" fontId="2" fillId="3" borderId="0" xfId="0" applyNumberFormat="1" applyFont="1" applyFill="1" applyAlignment="1">
      <alignment horizontal="center"/>
    </xf>
    <xf numFmtId="180" fontId="2" fillId="3" borderId="0" xfId="0" applyNumberFormat="1" applyFont="1" applyFill="1"/>
    <xf numFmtId="174" fontId="4" fillId="5" borderId="0" xfId="2" applyNumberFormat="1" applyFont="1" applyFill="1" applyAlignment="1">
      <alignment horizontal="right"/>
    </xf>
    <xf numFmtId="181" fontId="11" fillId="2" borderId="0" xfId="7" applyNumberFormat="1" applyFont="1" applyFill="1"/>
    <xf numFmtId="41" fontId="11" fillId="2" borderId="0" xfId="1" applyFont="1" applyFill="1"/>
    <xf numFmtId="174" fontId="2" fillId="3" borderId="0" xfId="0" applyNumberFormat="1" applyFont="1" applyFill="1" applyAlignment="1">
      <alignment horizontal="right"/>
    </xf>
    <xf numFmtId="0" fontId="2" fillId="3" borderId="0" xfId="0" applyFont="1" applyFill="1" applyAlignment="1">
      <alignment horizontal="center" wrapText="1"/>
    </xf>
    <xf numFmtId="171" fontId="4" fillId="5" borderId="0" xfId="0" applyNumberFormat="1" applyFont="1" applyFill="1" applyAlignment="1">
      <alignment vertical="center"/>
    </xf>
    <xf numFmtId="179" fontId="2" fillId="2" borderId="0" xfId="0" applyNumberFormat="1" applyFont="1" applyFill="1" applyAlignment="1">
      <alignment vertical="center"/>
    </xf>
    <xf numFmtId="0" fontId="2" fillId="3" borderId="0" xfId="0" applyFont="1" applyFill="1" applyAlignment="1">
      <alignment vertical="center"/>
    </xf>
    <xf numFmtId="171" fontId="2" fillId="2" borderId="0" xfId="0" applyNumberFormat="1" applyFont="1" applyFill="1" applyAlignment="1">
      <alignment vertical="center"/>
    </xf>
    <xf numFmtId="170" fontId="2" fillId="2" borderId="0" xfId="0" applyNumberFormat="1" applyFont="1" applyFill="1" applyAlignment="1">
      <alignment vertical="center"/>
    </xf>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3" fontId="6" fillId="7" borderId="0" xfId="0" applyNumberFormat="1" applyFont="1" applyFill="1" applyAlignment="1">
      <alignment horizontal="left" vertical="center"/>
    </xf>
    <xf numFmtId="0" fontId="4" fillId="4" borderId="0" xfId="0" applyFont="1" applyFill="1" applyAlignment="1">
      <alignment horizontal="left" vertical="center"/>
    </xf>
    <xf numFmtId="172" fontId="2" fillId="2" borderId="0" xfId="1" applyNumberFormat="1" applyFont="1" applyFill="1" applyAlignment="1">
      <alignment horizontal="left"/>
    </xf>
    <xf numFmtId="177" fontId="2" fillId="2" borderId="0" xfId="0" applyNumberFormat="1" applyFont="1" applyFill="1" applyAlignment="1">
      <alignment horizontal="right"/>
    </xf>
    <xf numFmtId="41" fontId="2" fillId="3" borderId="0" xfId="0" applyNumberFormat="1" applyFont="1" applyFill="1"/>
    <xf numFmtId="9" fontId="2" fillId="3" borderId="0" xfId="2" applyFont="1" applyFill="1" applyAlignment="1">
      <alignment horizontal="right"/>
    </xf>
    <xf numFmtId="9" fontId="2" fillId="3" borderId="0" xfId="0" applyNumberFormat="1" applyFont="1" applyFill="1"/>
    <xf numFmtId="170" fontId="2" fillId="3" borderId="0" xfId="0" applyNumberFormat="1" applyFont="1" applyFill="1" applyAlignment="1">
      <alignment horizontal="right"/>
    </xf>
    <xf numFmtId="171" fontId="4" fillId="3" borderId="0" xfId="0" applyNumberFormat="1" applyFont="1" applyFill="1" applyAlignment="1">
      <alignment horizontal="right"/>
    </xf>
    <xf numFmtId="0" fontId="10" fillId="3" borderId="0" xfId="0" applyFont="1" applyFill="1" applyAlignment="1">
      <alignment horizontal="center" wrapText="1"/>
    </xf>
    <xf numFmtId="174" fontId="6" fillId="2" borderId="0" xfId="2" applyNumberFormat="1" applyFont="1" applyFill="1" applyAlignment="1">
      <alignment horizontal="right"/>
    </xf>
    <xf numFmtId="173" fontId="2" fillId="3" borderId="0" xfId="8" applyNumberFormat="1" applyFont="1" applyFill="1" applyAlignment="1">
      <alignment horizontal="right" vertical="center"/>
    </xf>
    <xf numFmtId="0" fontId="84" fillId="5" borderId="0" xfId="0" applyFont="1" applyFill="1" applyAlignment="1">
      <alignment horizontal="left"/>
    </xf>
    <xf numFmtId="171" fontId="84" fillId="5" borderId="0" xfId="0" applyNumberFormat="1" applyFont="1" applyFill="1"/>
    <xf numFmtId="174" fontId="84" fillId="5" borderId="0" xfId="2" applyNumberFormat="1" applyFont="1" applyFill="1"/>
    <xf numFmtId="171" fontId="84" fillId="5" borderId="0" xfId="0" applyNumberFormat="1" applyFont="1" applyFill="1" applyAlignment="1">
      <alignment horizontal="right"/>
    </xf>
    <xf numFmtId="174" fontId="84" fillId="5" borderId="0" xfId="2" applyNumberFormat="1" applyFont="1" applyFill="1" applyAlignment="1">
      <alignment horizontal="right" vertical="center"/>
    </xf>
    <xf numFmtId="174" fontId="84" fillId="5" borderId="0" xfId="2" applyNumberFormat="1" applyFont="1" applyFill="1" applyAlignment="1">
      <alignment horizontal="right"/>
    </xf>
    <xf numFmtId="170" fontId="84" fillId="5" borderId="0" xfId="0" applyNumberFormat="1" applyFont="1" applyFill="1"/>
    <xf numFmtId="0" fontId="84" fillId="3" borderId="0" xfId="0" applyFont="1" applyFill="1" applyAlignment="1">
      <alignment horizontal="left"/>
    </xf>
    <xf numFmtId="171" fontId="84" fillId="3" borderId="0" xfId="0" applyNumberFormat="1" applyFont="1" applyFill="1"/>
    <xf numFmtId="170"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3" fontId="4" fillId="5" borderId="0" xfId="0" applyNumberFormat="1" applyFont="1" applyFill="1" applyAlignment="1">
      <alignment horizontal="right"/>
    </xf>
    <xf numFmtId="9" fontId="2" fillId="2" borderId="0" xfId="2" applyFont="1" applyFill="1" applyAlignment="1">
      <alignment horizontal="right" vertical="center"/>
    </xf>
    <xf numFmtId="9" fontId="2" fillId="2" borderId="0" xfId="2" applyFont="1" applyFill="1" applyBorder="1" applyAlignment="1">
      <alignment horizontal="right" vertical="center"/>
    </xf>
    <xf numFmtId="9" fontId="6" fillId="7" borderId="0" xfId="2" applyFont="1" applyFill="1" applyAlignment="1">
      <alignment horizontal="right" vertical="center"/>
    </xf>
    <xf numFmtId="41" fontId="2" fillId="2" borderId="0" xfId="1" applyFont="1" applyFill="1" applyAlignment="1">
      <alignment horizontal="right"/>
    </xf>
    <xf numFmtId="41" fontId="2" fillId="3" borderId="0" xfId="2" applyNumberFormat="1" applyFont="1" applyFill="1"/>
    <xf numFmtId="41" fontId="84" fillId="5" borderId="0" xfId="0" applyNumberFormat="1" applyFont="1" applyFill="1"/>
    <xf numFmtId="41" fontId="2" fillId="0" borderId="0" xfId="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41" fontId="4" fillId="5" borderId="0" xfId="0" applyNumberFormat="1" applyFont="1" applyFill="1" applyAlignment="1">
      <alignment horizontal="right"/>
    </xf>
    <xf numFmtId="0" fontId="4" fillId="5" borderId="0" xfId="0" applyFont="1" applyFill="1" applyAlignment="1">
      <alignment horizontal="right"/>
    </xf>
    <xf numFmtId="41" fontId="2" fillId="3" borderId="0" xfId="0" applyNumberFormat="1" applyFont="1" applyFill="1" applyAlignment="1">
      <alignment horizontal="right"/>
    </xf>
    <xf numFmtId="0" fontId="6" fillId="3" borderId="0" xfId="0" applyFont="1" applyFill="1"/>
    <xf numFmtId="0" fontId="86" fillId="3" borderId="0" xfId="0" applyFont="1" applyFill="1"/>
    <xf numFmtId="0" fontId="85" fillId="67" borderId="0" xfId="0" applyFont="1" applyFill="1" applyAlignment="1">
      <alignment horizontal="right"/>
    </xf>
    <xf numFmtId="1" fontId="85" fillId="67" borderId="0" xfId="0" applyNumberFormat="1" applyFont="1" applyFill="1" applyAlignment="1">
      <alignment horizontal="right"/>
    </xf>
    <xf numFmtId="3" fontId="85" fillId="67" borderId="0" xfId="0" applyNumberFormat="1" applyFont="1" applyFill="1" applyAlignment="1">
      <alignment horizontal="right"/>
    </xf>
    <xf numFmtId="243" fontId="2" fillId="3" borderId="0" xfId="0" applyNumberFormat="1" applyFont="1" applyFill="1"/>
    <xf numFmtId="164" fontId="2" fillId="3" borderId="0" xfId="0" applyNumberFormat="1" applyFont="1" applyFill="1"/>
    <xf numFmtId="0" fontId="87" fillId="3" borderId="0" xfId="0" applyFont="1" applyFill="1"/>
    <xf numFmtId="0" fontId="88" fillId="3" borderId="0" xfId="0" applyFont="1" applyFill="1"/>
    <xf numFmtId="0" fontId="87" fillId="6" borderId="0" xfId="0" applyFont="1" applyFill="1"/>
    <xf numFmtId="0" fontId="89" fillId="4" borderId="0" xfId="0" applyFont="1" applyFill="1"/>
    <xf numFmtId="243" fontId="87" fillId="3" borderId="0" xfId="0" applyNumberFormat="1" applyFont="1" applyFill="1"/>
    <xf numFmtId="0" fontId="89" fillId="5" borderId="0" xfId="0" applyFont="1" applyFill="1"/>
    <xf numFmtId="171" fontId="89" fillId="5" borderId="0" xfId="0" applyNumberFormat="1" applyFont="1" applyFill="1"/>
    <xf numFmtId="174" fontId="89" fillId="5" borderId="0" xfId="2" applyNumberFormat="1" applyFont="1" applyFill="1"/>
    <xf numFmtId="170" fontId="89" fillId="5" borderId="0" xfId="1" applyNumberFormat="1" applyFont="1" applyFill="1"/>
    <xf numFmtId="170" fontId="87" fillId="3" borderId="0" xfId="1" applyNumberFormat="1" applyFont="1" applyFill="1"/>
    <xf numFmtId="0" fontId="87" fillId="2" borderId="0" xfId="0" applyFont="1" applyFill="1"/>
    <xf numFmtId="171" fontId="87" fillId="2" borderId="0" xfId="0" applyNumberFormat="1" applyFont="1" applyFill="1" applyAlignment="1">
      <alignment horizontal="right" vertical="center"/>
    </xf>
    <xf numFmtId="174" fontId="87" fillId="2" borderId="0" xfId="2" applyNumberFormat="1" applyFont="1" applyFill="1" applyAlignment="1">
      <alignment horizontal="right"/>
    </xf>
    <xf numFmtId="170" fontId="87" fillId="2" borderId="0" xfId="1" applyNumberFormat="1" applyFont="1" applyFill="1" applyAlignment="1">
      <alignment horizontal="right" vertical="center"/>
    </xf>
    <xf numFmtId="0" fontId="90" fillId="7" borderId="0" xfId="0" applyFont="1" applyFill="1"/>
    <xf numFmtId="171" fontId="90" fillId="7" borderId="0" xfId="0" applyNumberFormat="1" applyFont="1" applyFill="1" applyAlignment="1">
      <alignment horizontal="right" vertical="center"/>
    </xf>
    <xf numFmtId="174" fontId="90" fillId="7" borderId="0" xfId="2" applyNumberFormat="1" applyFont="1" applyFill="1" applyAlignment="1">
      <alignment horizontal="right"/>
    </xf>
    <xf numFmtId="174" fontId="89" fillId="5" borderId="0" xfId="2" applyNumberFormat="1" applyFont="1" applyFill="1" applyAlignment="1">
      <alignment horizontal="right"/>
    </xf>
    <xf numFmtId="176" fontId="87" fillId="3" borderId="0" xfId="0" applyNumberFormat="1" applyFont="1" applyFill="1"/>
    <xf numFmtId="174" fontId="87" fillId="2" borderId="0" xfId="2" applyNumberFormat="1" applyFont="1" applyFill="1" applyAlignment="1">
      <alignment horizontal="right" vertical="center"/>
    </xf>
    <xf numFmtId="170" fontId="90" fillId="7" borderId="0" xfId="1" applyNumberFormat="1" applyFont="1" applyFill="1" applyAlignment="1">
      <alignment horizontal="right" vertical="center"/>
    </xf>
    <xf numFmtId="164" fontId="12" fillId="3" borderId="0" xfId="0" applyNumberFormat="1" applyFont="1" applyFill="1"/>
    <xf numFmtId="0" fontId="91" fillId="6" borderId="0" xfId="0" applyFont="1" applyFill="1"/>
    <xf numFmtId="0" fontId="91" fillId="3" borderId="0" xfId="0" applyFont="1" applyFill="1"/>
    <xf numFmtId="173" fontId="91" fillId="2" borderId="0" xfId="0" applyNumberFormat="1" applyFont="1" applyFill="1" applyAlignment="1">
      <alignment horizontal="right" vertical="center"/>
    </xf>
    <xf numFmtId="0" fontId="94" fillId="3" borderId="0" xfId="0" applyFont="1" applyFill="1"/>
    <xf numFmtId="0" fontId="91" fillId="2" borderId="0" xfId="0" applyFont="1" applyFill="1"/>
    <xf numFmtId="174" fontId="91" fillId="2" borderId="0" xfId="2" applyNumberFormat="1" applyFont="1" applyFill="1" applyAlignment="1">
      <alignment horizontal="right"/>
    </xf>
    <xf numFmtId="0" fontId="2" fillId="6" borderId="0" xfId="0" applyFont="1" applyFill="1" applyAlignment="1">
      <alignment horizontal="center"/>
    </xf>
    <xf numFmtId="0" fontId="91" fillId="6" borderId="0" xfId="0" applyFont="1" applyFill="1" applyAlignment="1">
      <alignment horizontal="center"/>
    </xf>
    <xf numFmtId="0" fontId="91" fillId="3" borderId="0" xfId="0" applyFont="1" applyFill="1" applyAlignment="1">
      <alignment horizontal="center"/>
    </xf>
    <xf numFmtId="173" fontId="4" fillId="5" borderId="0" xfId="0" applyNumberFormat="1" applyFont="1" applyFill="1" applyAlignment="1">
      <alignment horizontal="center"/>
    </xf>
    <xf numFmtId="173" fontId="2" fillId="2" borderId="0" xfId="0" applyNumberFormat="1" applyFont="1" applyFill="1" applyAlignment="1">
      <alignment horizontal="center" vertical="center"/>
    </xf>
    <xf numFmtId="173" fontId="91" fillId="2" borderId="0" xfId="0" applyNumberFormat="1" applyFont="1" applyFill="1" applyAlignment="1">
      <alignment horizontal="center" vertical="center"/>
    </xf>
    <xf numFmtId="1" fontId="2" fillId="2" borderId="0" xfId="0" applyNumberFormat="1" applyFont="1" applyFill="1" applyAlignment="1">
      <alignment horizontal="center" vertical="center"/>
    </xf>
    <xf numFmtId="3" fontId="2" fillId="2" borderId="0" xfId="0" applyNumberFormat="1" applyFont="1" applyFill="1" applyAlignment="1">
      <alignment horizontal="center" vertical="center"/>
    </xf>
    <xf numFmtId="173" fontId="6"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173" fontId="2" fillId="3" borderId="0" xfId="0" applyNumberFormat="1" applyFont="1" applyFill="1" applyAlignment="1">
      <alignment horizontal="center"/>
    </xf>
    <xf numFmtId="173" fontId="6" fillId="7" borderId="0" xfId="0" applyNumberFormat="1" applyFont="1" applyFill="1" applyAlignment="1">
      <alignment horizontal="center" vertical="center"/>
    </xf>
    <xf numFmtId="170" fontId="4" fillId="5" borderId="0" xfId="0" applyNumberFormat="1" applyFont="1" applyFill="1" applyAlignment="1">
      <alignment horizontal="center"/>
    </xf>
    <xf numFmtId="170" fontId="2" fillId="3" borderId="0" xfId="0" applyNumberFormat="1" applyFont="1" applyFill="1" applyAlignment="1">
      <alignment horizontal="center"/>
    </xf>
    <xf numFmtId="170" fontId="2" fillId="2" borderId="0" xfId="0" applyNumberFormat="1" applyFont="1" applyFill="1" applyAlignment="1">
      <alignment horizontal="center" vertical="center"/>
    </xf>
    <xf numFmtId="170" fontId="6" fillId="7" borderId="0" xfId="0" applyNumberFormat="1" applyFont="1" applyFill="1" applyAlignment="1">
      <alignment horizontal="center" vertical="center"/>
    </xf>
    <xf numFmtId="171" fontId="92" fillId="5" borderId="0" xfId="0" applyNumberFormat="1" applyFont="1" applyFill="1"/>
    <xf numFmtId="43" fontId="91" fillId="3" borderId="0" xfId="0" applyNumberFormat="1" applyFont="1" applyFill="1"/>
    <xf numFmtId="171" fontId="92" fillId="4" borderId="0" xfId="0" applyNumberFormat="1" applyFont="1" applyFill="1"/>
    <xf numFmtId="171" fontId="95" fillId="5" borderId="0" xfId="0" applyNumberFormat="1" applyFont="1" applyFill="1"/>
    <xf numFmtId="170" fontId="91" fillId="2" borderId="0" xfId="0" applyNumberFormat="1" applyFont="1" applyFill="1"/>
    <xf numFmtId="171" fontId="91" fillId="2" borderId="0" xfId="0" applyNumberFormat="1" applyFont="1" applyFill="1" applyAlignment="1">
      <alignment horizontal="right"/>
    </xf>
    <xf numFmtId="171" fontId="91" fillId="2" borderId="0" xfId="0" applyNumberFormat="1" applyFont="1" applyFill="1"/>
    <xf numFmtId="170" fontId="91" fillId="3" borderId="0" xfId="0" applyNumberFormat="1" applyFont="1" applyFill="1"/>
    <xf numFmtId="177" fontId="91" fillId="2" borderId="0" xfId="0" applyNumberFormat="1" applyFont="1" applyFill="1" applyAlignment="1">
      <alignment horizontal="right"/>
    </xf>
    <xf numFmtId="171" fontId="95" fillId="3" borderId="0" xfId="0" applyNumberFormat="1" applyFont="1" applyFill="1"/>
    <xf numFmtId="171" fontId="91" fillId="2" borderId="0" xfId="0" applyNumberFormat="1" applyFont="1" applyFill="1" applyAlignment="1">
      <alignment horizontal="right" vertical="center"/>
    </xf>
    <xf numFmtId="164" fontId="91" fillId="3" borderId="0" xfId="0" applyNumberFormat="1" applyFont="1" applyFill="1"/>
    <xf numFmtId="172" fontId="91" fillId="2" borderId="0" xfId="1" applyNumberFormat="1" applyFont="1" applyFill="1"/>
    <xf numFmtId="172" fontId="91" fillId="3" borderId="0" xfId="1" applyNumberFormat="1" applyFont="1" applyFill="1"/>
    <xf numFmtId="164" fontId="96" fillId="3" borderId="0" xfId="0" applyNumberFormat="1" applyFont="1" applyFill="1"/>
    <xf numFmtId="0" fontId="97" fillId="3" borderId="0" xfId="0" applyFont="1" applyFill="1"/>
    <xf numFmtId="243" fontId="91" fillId="3" borderId="0" xfId="0" applyNumberFormat="1" applyFont="1" applyFill="1"/>
    <xf numFmtId="176" fontId="91" fillId="3" borderId="0" xfId="0" applyNumberFormat="1" applyFont="1" applyFill="1"/>
    <xf numFmtId="171" fontId="93" fillId="7" borderId="0" xfId="0" applyNumberFormat="1" applyFont="1" applyFill="1" applyAlignment="1">
      <alignment horizontal="right" vertical="center"/>
    </xf>
    <xf numFmtId="0" fontId="98" fillId="3" borderId="0" xfId="0" applyFont="1" applyFill="1"/>
    <xf numFmtId="41" fontId="99" fillId="2" borderId="0" xfId="1" applyFont="1" applyFill="1"/>
    <xf numFmtId="41" fontId="91" fillId="2" borderId="0" xfId="1" applyFont="1" applyFill="1"/>
    <xf numFmtId="3" fontId="85" fillId="67" borderId="0" xfId="0" quotePrefix="1" applyNumberFormat="1" applyFont="1" applyFill="1" applyAlignment="1">
      <alignment horizontal="right"/>
    </xf>
    <xf numFmtId="172" fontId="2" fillId="3" borderId="0" xfId="0" applyNumberFormat="1" applyFont="1" applyFill="1"/>
    <xf numFmtId="9" fontId="91" fillId="3" borderId="0" xfId="2" applyFont="1" applyFill="1"/>
    <xf numFmtId="171" fontId="4" fillId="5" borderId="0" xfId="0" applyNumberFormat="1" applyFont="1" applyFill="1" applyAlignment="1">
      <alignment horizontal="center"/>
    </xf>
    <xf numFmtId="171" fontId="2" fillId="3" borderId="0" xfId="0" applyNumberFormat="1" applyFont="1" applyFill="1" applyAlignment="1">
      <alignment horizontal="center"/>
    </xf>
    <xf numFmtId="171" fontId="91" fillId="3" borderId="0" xfId="0" applyNumberFormat="1" applyFont="1" applyFill="1" applyAlignment="1">
      <alignment horizontal="center"/>
    </xf>
    <xf numFmtId="171" fontId="2" fillId="2" borderId="0" xfId="0" applyNumberFormat="1" applyFont="1" applyFill="1" applyAlignment="1">
      <alignment horizontal="center" vertical="center"/>
    </xf>
    <xf numFmtId="171" fontId="91" fillId="2" borderId="0" xfId="0" applyNumberFormat="1" applyFont="1" applyFill="1" applyAlignment="1">
      <alignment horizontal="center" vertical="center"/>
    </xf>
    <xf numFmtId="171" fontId="6" fillId="2" borderId="0" xfId="0" applyNumberFormat="1" applyFont="1" applyFill="1" applyAlignment="1">
      <alignment horizontal="center" vertical="center"/>
    </xf>
    <xf numFmtId="171" fontId="6" fillId="7" borderId="0" xfId="0" applyNumberFormat="1" applyFont="1" applyFill="1" applyAlignment="1">
      <alignment horizontal="center" vertical="center"/>
    </xf>
    <xf numFmtId="41" fontId="2" fillId="2" borderId="0" xfId="1" applyFont="1" applyFill="1" applyAlignment="1">
      <alignment horizontal="center"/>
    </xf>
    <xf numFmtId="172" fontId="2" fillId="2" borderId="0" xfId="1" applyNumberFormat="1" applyFont="1" applyFill="1" applyAlignment="1">
      <alignment horizontal="center"/>
    </xf>
    <xf numFmtId="41" fontId="4" fillId="5" borderId="0" xfId="0" applyNumberFormat="1" applyFont="1" applyFill="1" applyAlignment="1">
      <alignment horizontal="center"/>
    </xf>
    <xf numFmtId="9" fontId="4" fillId="5" borderId="0" xfId="0" applyNumberFormat="1" applyFont="1" applyFill="1" applyAlignment="1">
      <alignment horizontal="center"/>
    </xf>
    <xf numFmtId="0" fontId="4" fillId="5" borderId="0" xfId="0" applyFont="1" applyFill="1" applyAlignment="1">
      <alignment horizontal="center"/>
    </xf>
    <xf numFmtId="41" fontId="4" fillId="4" borderId="0" xfId="0" applyNumberFormat="1" applyFont="1" applyFill="1" applyAlignment="1">
      <alignment horizontal="center" vertical="center"/>
    </xf>
    <xf numFmtId="9" fontId="4" fillId="4" borderId="0" xfId="0" applyNumberFormat="1" applyFont="1" applyFill="1" applyAlignment="1">
      <alignment horizontal="center" vertical="center"/>
    </xf>
    <xf numFmtId="41" fontId="2" fillId="3" borderId="0" xfId="0" applyNumberFormat="1" applyFont="1" applyFill="1" applyAlignment="1">
      <alignment horizontal="center"/>
    </xf>
    <xf numFmtId="41" fontId="2" fillId="6" borderId="0" xfId="0" applyNumberFormat="1" applyFont="1" applyFill="1" applyAlignment="1">
      <alignment horizontal="center"/>
    </xf>
    <xf numFmtId="176" fontId="2" fillId="3" borderId="0" xfId="0" applyNumberFormat="1" applyFont="1" applyFill="1" applyAlignment="1">
      <alignment horizontal="center"/>
    </xf>
    <xf numFmtId="0" fontId="85" fillId="66" borderId="0" xfId="0" applyFont="1" applyFill="1" applyAlignment="1">
      <alignment horizontal="center"/>
    </xf>
    <xf numFmtId="0" fontId="85" fillId="67" borderId="0" xfId="0" applyFont="1" applyFill="1" applyAlignment="1">
      <alignment horizontal="center"/>
    </xf>
    <xf numFmtId="0" fontId="12" fillId="3" borderId="0" xfId="0" applyFont="1" applyFill="1" applyAlignment="1">
      <alignment horizontal="left" vertical="top" wrapText="1"/>
    </xf>
    <xf numFmtId="0" fontId="4" fillId="4" borderId="0" xfId="0" applyFont="1" applyFill="1" applyAlignment="1">
      <alignment vertical="center"/>
    </xf>
    <xf numFmtId="41" fontId="4" fillId="4" borderId="0" xfId="0" applyNumberFormat="1" applyFont="1" applyFill="1" applyAlignment="1">
      <alignment horizontal="center"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92" fillId="4" borderId="0" xfId="0" applyFont="1" applyFill="1" applyAlignment="1">
      <alignment horizontal="center" vertical="center"/>
    </xf>
    <xf numFmtId="0" fontId="89" fillId="4" borderId="0" xfId="0" applyFont="1" applyFill="1" applyAlignment="1">
      <alignment horizontal="center" vertical="center"/>
    </xf>
    <xf numFmtId="0" fontId="87" fillId="3" borderId="0" xfId="0" applyFont="1" applyFill="1" applyAlignment="1">
      <alignment horizontal="left" vertical="top" wrapText="1"/>
    </xf>
    <xf numFmtId="0" fontId="87" fillId="3" borderId="0" xfId="0" applyFont="1" applyFill="1" applyAlignment="1">
      <alignment horizontal="left" vertical="top"/>
    </xf>
    <xf numFmtId="0" fontId="4" fillId="4" borderId="0" xfId="0" applyFont="1" applyFill="1" applyAlignment="1">
      <alignment horizontal="center" vertical="center" wrapText="1"/>
    </xf>
  </cellXfs>
  <cellStyles count="5203">
    <cellStyle name="_x000a_386grabber=M" xfId="66" xr:uid="{00000000-0005-0000-0000-000000000000}"/>
    <cellStyle name="=C:\WINNT\SYSTEM32\COMMAND.COM" xfId="67" xr:uid="{00000000-0005-0000-0000-000001000000}"/>
    <cellStyle name="20% - Accent1" xfId="38" builtinId="30" customBuiltin="1"/>
    <cellStyle name="20% - Accent1 2" xfId="68" xr:uid="{00000000-0005-0000-0000-000002000000}"/>
    <cellStyle name="20% - Accent2" xfId="41" builtinId="34" customBuiltin="1"/>
    <cellStyle name="20% - Accent2 2" xfId="69" xr:uid="{00000000-0005-0000-0000-000004000000}"/>
    <cellStyle name="20% - Accent3" xfId="44" builtinId="38" customBuiltin="1"/>
    <cellStyle name="20% - Accent3 2" xfId="70" xr:uid="{00000000-0005-0000-0000-000006000000}"/>
    <cellStyle name="20% - Accent4" xfId="47" builtinId="42" customBuiltin="1"/>
    <cellStyle name="20% - Accent4 2" xfId="71" xr:uid="{00000000-0005-0000-0000-000008000000}"/>
    <cellStyle name="20% - Accent5" xfId="50" builtinId="46" customBuiltin="1"/>
    <cellStyle name="20% - Accent5 2" xfId="72" xr:uid="{00000000-0005-0000-0000-00000A000000}"/>
    <cellStyle name="20% - Accent6" xfId="53" builtinId="50" customBuiltin="1"/>
    <cellStyle name="20% - Accent6 2" xfId="73" xr:uid="{00000000-0005-0000-0000-00000C000000}"/>
    <cellStyle name="40% - Accent1" xfId="39" builtinId="31" customBuiltin="1"/>
    <cellStyle name="40% - Accent1 2" xfId="74" xr:uid="{00000000-0005-0000-0000-000014000000}"/>
    <cellStyle name="40% - Accent2" xfId="42" builtinId="35" customBuiltin="1"/>
    <cellStyle name="40% - Accent2 2" xfId="75" xr:uid="{00000000-0005-0000-0000-000016000000}"/>
    <cellStyle name="40% - Accent3" xfId="45" builtinId="39" customBuiltin="1"/>
    <cellStyle name="40% - Accent3 2" xfId="76" xr:uid="{00000000-0005-0000-0000-000018000000}"/>
    <cellStyle name="40% - Accent4" xfId="48" builtinId="43" customBuiltin="1"/>
    <cellStyle name="40% - Accent4 2" xfId="77" xr:uid="{00000000-0005-0000-0000-00001A000000}"/>
    <cellStyle name="40% - Accent5" xfId="51" builtinId="47" customBuiltin="1"/>
    <cellStyle name="40% - Accent5 2" xfId="78" xr:uid="{00000000-0005-0000-0000-00001C000000}"/>
    <cellStyle name="40% - Accent6" xfId="54" builtinId="51" customBuiltin="1"/>
    <cellStyle name="40% - Accent6 2" xfId="79" xr:uid="{00000000-0005-0000-0000-00001E000000}"/>
    <cellStyle name="60% - Accent1" xfId="4358" builtinId="32" customBuiltin="1"/>
    <cellStyle name="60% - Accent1 2" xfId="80" xr:uid="{00000000-0005-0000-0000-000026000000}"/>
    <cellStyle name="60% - Accent2" xfId="4359" builtinId="36" customBuiltin="1"/>
    <cellStyle name="60% - Accent2 2" xfId="81" xr:uid="{00000000-0005-0000-0000-000028000000}"/>
    <cellStyle name="60% - Accent3" xfId="4360" builtinId="40" customBuiltin="1"/>
    <cellStyle name="60% - Accent3 2" xfId="82" xr:uid="{00000000-0005-0000-0000-00002A000000}"/>
    <cellStyle name="60% - Accent4" xfId="4361" builtinId="44" customBuiltin="1"/>
    <cellStyle name="60% - Accent4 2" xfId="83" xr:uid="{00000000-0005-0000-0000-00002C000000}"/>
    <cellStyle name="60% - Accent5" xfId="4362" builtinId="48" customBuiltin="1"/>
    <cellStyle name="60% - Accent5 2" xfId="84" xr:uid="{00000000-0005-0000-0000-00002E000000}"/>
    <cellStyle name="60% - Accent6" xfId="4363" builtinId="52" customBuiltin="1"/>
    <cellStyle name="60% - Accent6 2" xfId="85" xr:uid="{00000000-0005-0000-0000-000030000000}"/>
    <cellStyle name="60% - akcent 1" xfId="64" xr:uid="{00000000-0005-0000-0000-000032000000}"/>
    <cellStyle name="60% - Énfasis1 2" xfId="591" xr:uid="{00000000-0005-0000-0000-000033000000}"/>
    <cellStyle name="60% - Énfasis1 3" xfId="58" xr:uid="{00000000-0005-0000-0000-000034000000}"/>
    <cellStyle name="60% - Énfasis2 2" xfId="592" xr:uid="{00000000-0005-0000-0000-000035000000}"/>
    <cellStyle name="60% - Énfasis2 3" xfId="59" xr:uid="{00000000-0005-0000-0000-000036000000}"/>
    <cellStyle name="60% - Énfasis3 2" xfId="593" xr:uid="{00000000-0005-0000-0000-000037000000}"/>
    <cellStyle name="60% - Énfasis3 3" xfId="60" xr:uid="{00000000-0005-0000-0000-000038000000}"/>
    <cellStyle name="60% - Énfasis4 2" xfId="594" xr:uid="{00000000-0005-0000-0000-000039000000}"/>
    <cellStyle name="60% - Énfasis4 3" xfId="61" xr:uid="{00000000-0005-0000-0000-00003A000000}"/>
    <cellStyle name="60% - Énfasis5 2" xfId="595" xr:uid="{00000000-0005-0000-0000-00003B000000}"/>
    <cellStyle name="60% - Énfasis5 3" xfId="62" xr:uid="{00000000-0005-0000-0000-00003C000000}"/>
    <cellStyle name="60% - Énfasis6 2" xfId="596" xr:uid="{00000000-0005-0000-0000-00003D000000}"/>
    <cellStyle name="60% - Énfasis6 3" xfId="63" xr:uid="{00000000-0005-0000-0000-00003E000000}"/>
    <cellStyle name="A3 297 x 420 mm" xfId="86" xr:uid="{00000000-0005-0000-0000-00003F000000}"/>
    <cellStyle name="Accent1" xfId="37" builtinId="29" customBuiltin="1"/>
    <cellStyle name="Accent1 2" xfId="87" xr:uid="{00000000-0005-0000-0000-000040000000}"/>
    <cellStyle name="Accent2" xfId="40" builtinId="33" customBuiltin="1"/>
    <cellStyle name="Accent2 2" xfId="88" xr:uid="{00000000-0005-0000-0000-000042000000}"/>
    <cellStyle name="Accent3" xfId="43" builtinId="37" customBuiltin="1"/>
    <cellStyle name="Accent3 2" xfId="89" xr:uid="{00000000-0005-0000-0000-000044000000}"/>
    <cellStyle name="Accent4" xfId="46" builtinId="41" customBuiltin="1"/>
    <cellStyle name="Accent4 2" xfId="90" xr:uid="{00000000-0005-0000-0000-000046000000}"/>
    <cellStyle name="Accent5" xfId="49" builtinId="45" customBuiltin="1"/>
    <cellStyle name="Accent5 2" xfId="91" xr:uid="{00000000-0005-0000-0000-000048000000}"/>
    <cellStyle name="Accent6" xfId="52" builtinId="49" customBuiltin="1"/>
    <cellStyle name="Accent6 2" xfId="92" xr:uid="{00000000-0005-0000-0000-00004A000000}"/>
    <cellStyle name="Bad" xfId="27" builtinId="27" customBuiltin="1"/>
    <cellStyle name="Bad 2" xfId="93" xr:uid="{00000000-0005-0000-0000-00004C000000}"/>
    <cellStyle name="Cabece - Estilo3" xfId="94" xr:uid="{00000000-0005-0000-0000-00004F000000}"/>
    <cellStyle name="Cabecera 1" xfId="95" xr:uid="{00000000-0005-0000-0000-000050000000}"/>
    <cellStyle name="Cabecera 2" xfId="96" xr:uid="{00000000-0005-0000-0000-000051000000}"/>
    <cellStyle name="Calculation" xfId="30" builtinId="22" customBuiltin="1"/>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entered Heading" xfId="98" xr:uid="{00000000-0005-0000-0000-000058000000}"/>
    <cellStyle name="CenterHead" xfId="99" xr:uid="{00000000-0005-0000-0000-000059000000}"/>
    <cellStyle name="Check Cell" xfId="32" builtinId="23" customBuiltin="1"/>
    <cellStyle name="Check Cell 2" xfId="100" xr:uid="{00000000-0005-0000-0000-00005A000000}"/>
    <cellStyle name="Column_Title" xfId="101" xr:uid="{00000000-0005-0000-0000-00005C000000}"/>
    <cellStyle name="Comma" xfId="8" builtinId="3"/>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xfId="1" builtinId="6"/>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2" xfId="344" xr:uid="{00000000-0005-0000-0000-0000C9020000}"/>
    <cellStyle name="Encabezado 1 3" xfId="56" xr:uid="{00000000-0005-0000-0000-0000CA020000}"/>
    <cellStyle name="Encabezado 2" xfId="176" xr:uid="{00000000-0005-0000-0000-0000CB020000}"/>
    <cellStyle name="Euro" xfId="10" xr:uid="{00000000-0005-0000-0000-0000D4020000}"/>
    <cellStyle name="Euro 2" xfId="177" xr:uid="{00000000-0005-0000-0000-0000D5020000}"/>
    <cellStyle name="Explanatory Text" xfId="35" builtinId="53" customBuiltin="1"/>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xfId="26" builtinId="26" customBuiltin="1"/>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2 2" xfId="5191" xr:uid="{DDEBCEDB-3F62-44D5-BEE5-0F9F34642230}"/>
    <cellStyle name="Header1 2 3" xfId="5181" xr:uid="{7127AA19-3991-4E6D-8D59-B0186EE95B4B}"/>
    <cellStyle name="Header1 2 3 2" xfId="5201" xr:uid="{5F945887-E9A9-484B-AB3F-D975FC2DB19D}"/>
    <cellStyle name="Header1 2 4" xfId="4911" xr:uid="{CA9D7BC2-AA57-4ECA-83A5-900CB6BB4762}"/>
    <cellStyle name="Header1 2 4 2" xfId="5195" xr:uid="{E79318A5-858E-47CB-8243-BE877CCFFC5D}"/>
    <cellStyle name="Header1 2 5" xfId="4983" xr:uid="{D90DBEF7-4B29-4549-BA1F-D48A309E1D98}"/>
    <cellStyle name="Header1 2 5 2" xfId="5199" xr:uid="{6257A867-56CF-4FE6-B3D5-7A1CEF3369C8}"/>
    <cellStyle name="Header1 2 6" xfId="5189" xr:uid="{9B591AE3-39AE-4DCC-8268-6505ECB3843B}"/>
    <cellStyle name="Header1 3" xfId="4860" xr:uid="{1B406D08-97E6-4DD1-BFC3-F4B1F4976AE0}"/>
    <cellStyle name="Header1 3 2" xfId="4898" xr:uid="{D1C3C8DD-2E3F-4C6B-B204-3354691E67D0}"/>
    <cellStyle name="Header1 3 2 2" xfId="5193" xr:uid="{CB42870D-AADC-47A8-8C8C-F37421990949}"/>
    <cellStyle name="Header1 3 3" xfId="5183" xr:uid="{AE973EF4-009B-4095-A517-A1FA22F1D6B0}"/>
    <cellStyle name="Header1 3 3 2" xfId="5202" xr:uid="{D2D6984C-DB48-41E4-9F04-46423C1C321C}"/>
    <cellStyle name="Header1 3 4" xfId="4909" xr:uid="{336CA3EE-EB6A-4493-AFBB-9154FCF0B7CE}"/>
    <cellStyle name="Header1 3 4 2" xfId="5194" xr:uid="{E3017906-9E3D-4EDF-9D87-6CA6E02EF829}"/>
    <cellStyle name="Header1 3 5" xfId="5029" xr:uid="{BA7DBCC3-4E68-421C-B8FD-E1BB94EAF9DB}"/>
    <cellStyle name="Header1 3 5 2" xfId="5200" xr:uid="{616A192F-F11B-44B7-8399-BFADE0CB97F2}"/>
    <cellStyle name="Header1 3 6" xfId="5190" xr:uid="{E3320947-4BC2-49F9-A75E-3EED3DD250AC}"/>
    <cellStyle name="Header1 4" xfId="4563" xr:uid="{25ACC1D6-C331-4DC4-90DC-02C07AAD4393}"/>
    <cellStyle name="Header1 4 2" xfId="5184" xr:uid="{5696B4CB-F44C-451B-9C6E-B4EFE04902F3}"/>
    <cellStyle name="Header1 5" xfId="4959" xr:uid="{5BA2C185-69E1-4553-9818-A39362871A27}"/>
    <cellStyle name="Header1 5 2" xfId="5196" xr:uid="{258737AE-3808-4947-8FDA-1C2F5AC0886D}"/>
    <cellStyle name="Header1 6" xfId="4964" xr:uid="{82F45838-2716-4F3B-8B24-3160822B602B}"/>
    <cellStyle name="Header1 6 2" xfId="5197" xr:uid="{0EE25BCA-1E73-4ED8-B376-1914C47DFDAA}"/>
    <cellStyle name="Header1 7" xfId="4966" xr:uid="{872808A5-7660-41F0-B9DA-E9EE5F7B2970}"/>
    <cellStyle name="Header1 7 2" xfId="5198" xr:uid="{F98A9088-A30C-4787-B797-7602C8442B47}"/>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xfId="4356" builtinId="16" customBuiltin="1"/>
    <cellStyle name="Heading 1 2" xfId="196" xr:uid="{00000000-0005-0000-0000-0000EA020000}"/>
    <cellStyle name="Heading 10" xfId="4981" xr:uid="{4B6FC574-F5C7-45CE-8E40-E20639FECB1D}"/>
    <cellStyle name="Heading 2" xfId="23" builtinId="17" customBuiltin="1"/>
    <cellStyle name="Heading 2 2" xfId="197" xr:uid="{00000000-0005-0000-0000-0000EC020000}"/>
    <cellStyle name="Heading 2 3" xfId="4364" xr:uid="{E1F9E252-8E64-4EB3-9D69-1922AF23C473}"/>
    <cellStyle name="Heading 3" xfId="24" builtinId="18" customBuiltin="1"/>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4 2" xfId="5186" xr:uid="{917BDA59-1F3A-4FD3-A9F4-4992E1E914A5}"/>
    <cellStyle name="Heading 3 2 5" xfId="4961" xr:uid="{C6B4889A-CC44-4E50-B65F-8A0561AEE6E4}"/>
    <cellStyle name="Heading 3 3" xfId="4365" xr:uid="{A37D32A9-E846-4625-B031-37BF109BA832}"/>
    <cellStyle name="Heading 4" xfId="25" builtinId="19" customBuiltin="1"/>
    <cellStyle name="Heading 4 2" xfId="199" xr:uid="{00000000-0005-0000-0000-0000F0020000}"/>
    <cellStyle name="Heading 5" xfId="4564" xr:uid="{6357661A-2B19-4CE2-82C9-5E897B2BCDBC}"/>
    <cellStyle name="Heading 5 2" xfId="5185" xr:uid="{3EF93A19-B34C-4D30-9980-4FD41AD149DC}"/>
    <cellStyle name="Heading 6" xfId="4595" xr:uid="{A691A9A3-B69D-4FC6-9362-BE25B1DC0764}"/>
    <cellStyle name="Heading 6 2" xfId="5187" xr:uid="{340271C0-AFB4-4B9B-B0B8-6B5437103C57}"/>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put" xfId="28" builtinId="20"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xfId="31" builtinId="24" customBuiltin="1"/>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0)" xfId="212" xr:uid="{00000000-0005-0000-0000-000003030000}"/>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e"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xfId="29" builtinId="21" customBuiltin="1"/>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xfId="2" builtinId="5"/>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2 2" xfId="5192" xr:uid="{F9A05CEB-9E43-492D-90B2-08E51546EF65}"/>
    <cellStyle name="PSHeading 2 3" xfId="5182" xr:uid="{8413FF72-104A-40AB-90F1-1030913C63EA}"/>
    <cellStyle name="PSHeading 3" xfId="4606" xr:uid="{1F074FB0-DF53-447C-90FF-17ECAF3B6849}"/>
    <cellStyle name="PSHeading 3 2" xfId="5188" xr:uid="{CEFAA23B-165E-480B-A930-72772580352F}"/>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ickmark" xfId="269" xr:uid="{00000000-0005-0000-0000-000011110000}"/>
    <cellStyle name="Title" xfId="4355" builtinId="15" customBuiltin="1"/>
    <cellStyle name="Title 2" xfId="270" xr:uid="{00000000-0005-0000-0000-000012110000}"/>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xfId="33" builtinId="11" customBuiltin="1"/>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602621</xdr:colOff>
      <xdr:row>38</xdr:row>
      <xdr:rowOff>156524</xdr:rowOff>
    </xdr:to>
    <xdr:pic>
      <xdr:nvPicPr>
        <xdr:cNvPr id="63"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7404721" cy="7154224"/>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5"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Peru 4Q25</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572609</xdr:colOff>
      <xdr:row>24</xdr:row>
      <xdr:rowOff>33420</xdr:rowOff>
    </xdr:from>
    <xdr:to>
      <xdr:col>5</xdr:col>
      <xdr:colOff>151086</xdr:colOff>
      <xdr:row>25</xdr:row>
      <xdr:rowOff>75091</xdr:rowOff>
    </xdr:to>
    <xdr:sp macro="" textlink="">
      <xdr:nvSpPr>
        <xdr:cNvPr id="62" name="Rectangle: Rounded Corners 13">
          <a:hlinkClick xmlns:r="http://schemas.openxmlformats.org/officeDocument/2006/relationships" r:id="rId12"/>
          <a:extLst>
            <a:ext uri="{FF2B5EF4-FFF2-40B4-BE49-F238E27FC236}">
              <a16:creationId xmlns:a16="http://schemas.microsoft.com/office/drawing/2014/main" id="{2ACA16FD-C9CA-4578-81C1-04A282FBC661}"/>
            </a:ext>
          </a:extLst>
        </xdr:cNvPr>
        <xdr:cNvSpPr/>
      </xdr:nvSpPr>
      <xdr:spPr>
        <a:xfrm>
          <a:off x="572609" y="4605420"/>
          <a:ext cx="3388477" cy="232171"/>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1501775</xdr:colOff>
      <xdr:row>2</xdr:row>
      <xdr:rowOff>73034</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01335"/>
          <a:ext cx="1688386" cy="556229"/>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73034</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72267"/>
          <a:ext cx="1487303" cy="554312"/>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11281</xdr:colOff>
      <xdr:row>0</xdr:row>
      <xdr:rowOff>95250</xdr:rowOff>
    </xdr:from>
    <xdr:to>
      <xdr:col>1</xdr:col>
      <xdr:colOff>1440032</xdr:colOff>
      <xdr:row>2</xdr:row>
      <xdr:rowOff>64567</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twoCellAnchor>
    <xdr:from>
      <xdr:col>0</xdr:col>
      <xdr:colOff>61736</xdr:colOff>
      <xdr:row>31</xdr:row>
      <xdr:rowOff>114653</xdr:rowOff>
    </xdr:from>
    <xdr:to>
      <xdr:col>1</xdr:col>
      <xdr:colOff>1337372</xdr:colOff>
      <xdr:row>34</xdr:row>
      <xdr:rowOff>164288</xdr:rowOff>
    </xdr:to>
    <xdr:grpSp>
      <xdr:nvGrpSpPr>
        <xdr:cNvPr id="6" name="Grupo 3">
          <a:extLst>
            <a:ext uri="{FF2B5EF4-FFF2-40B4-BE49-F238E27FC236}">
              <a16:creationId xmlns:a16="http://schemas.microsoft.com/office/drawing/2014/main" id="{343FD773-F27F-47A1-8572-E5C6E1F22B6B}"/>
            </a:ext>
          </a:extLst>
        </xdr:cNvPr>
        <xdr:cNvGrpSpPr/>
      </xdr:nvGrpSpPr>
      <xdr:grpSpPr>
        <a:xfrm>
          <a:off x="61736" y="5613753"/>
          <a:ext cx="1497886" cy="563985"/>
          <a:chOff x="0" y="0"/>
          <a:chExt cx="3496166" cy="1419225"/>
        </a:xfrm>
      </xdr:grpSpPr>
      <xdr:pic>
        <xdr:nvPicPr>
          <xdr:cNvPr id="7" name="Imagen 2">
            <a:extLst>
              <a:ext uri="{FF2B5EF4-FFF2-40B4-BE49-F238E27FC236}">
                <a16:creationId xmlns:a16="http://schemas.microsoft.com/office/drawing/2014/main" id="{FD070D75-E455-8BBD-B14C-E210476A9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A202415-A72E-1388-4879-C0A1259781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1496484</xdr:colOff>
      <xdr:row>2</xdr:row>
      <xdr:rowOff>64567</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741850"/>
          <a:ext cx="1688386" cy="555519"/>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73626</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1388390</xdr:colOff>
      <xdr:row>2</xdr:row>
      <xdr:rowOff>92946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49221</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746345"/>
          <a:ext cx="1688386" cy="549021"/>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1482726</xdr:colOff>
      <xdr:row>2</xdr:row>
      <xdr:rowOff>67478</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45404"/>
          <a:ext cx="1688386" cy="535262"/>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18</xdr:row>
      <xdr:rowOff>127000</xdr:rowOff>
    </xdr:from>
    <xdr:to>
      <xdr:col>1</xdr:col>
      <xdr:colOff>1487303</xdr:colOff>
      <xdr:row>22</xdr:row>
      <xdr:rowOff>3979</xdr:rowOff>
    </xdr:to>
    <xdr:grpSp>
      <xdr:nvGrpSpPr>
        <xdr:cNvPr id="3" name="Grupo 3">
          <a:extLst>
            <a:ext uri="{FF2B5EF4-FFF2-40B4-BE49-F238E27FC236}">
              <a16:creationId xmlns:a16="http://schemas.microsoft.com/office/drawing/2014/main" id="{564236D3-0459-431E-B1D6-71C97DD439C2}"/>
            </a:ext>
          </a:extLst>
        </xdr:cNvPr>
        <xdr:cNvGrpSpPr/>
      </xdr:nvGrpSpPr>
      <xdr:grpSpPr>
        <a:xfrm>
          <a:off x="0" y="3108325"/>
          <a:ext cx="1688386" cy="560662"/>
          <a:chOff x="0" y="0"/>
          <a:chExt cx="3496166" cy="1419225"/>
        </a:xfrm>
      </xdr:grpSpPr>
      <xdr:pic>
        <xdr:nvPicPr>
          <xdr:cNvPr id="4" name="Imagen 2">
            <a:extLst>
              <a:ext uri="{FF2B5EF4-FFF2-40B4-BE49-F238E27FC236}">
                <a16:creationId xmlns:a16="http://schemas.microsoft.com/office/drawing/2014/main" id="{F73C74D3-735D-CB80-8EE6-94529A2B13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5" name="Imagen 1" descr="Logotipo&#10;&#10;Descripción generada automáticamente">
            <a:extLst>
              <a:ext uri="{FF2B5EF4-FFF2-40B4-BE49-F238E27FC236}">
                <a16:creationId xmlns:a16="http://schemas.microsoft.com/office/drawing/2014/main" id="{9D6539F7-2FDA-4361-C051-B1E7D2256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twoCellAnchor editAs="oneCell">
    <xdr:from>
      <xdr:col>1</xdr:col>
      <xdr:colOff>63501</xdr:colOff>
      <xdr:row>0</xdr:row>
      <xdr:rowOff>114301</xdr:rowOff>
    </xdr:from>
    <xdr:to>
      <xdr:col>1</xdr:col>
      <xdr:colOff>1495427</xdr:colOff>
      <xdr:row>2</xdr:row>
      <xdr:rowOff>85432</xdr:rowOff>
    </xdr:to>
    <xdr:pic>
      <xdr:nvPicPr>
        <xdr:cNvPr id="7" name="Picture 3" descr="Imagen">
          <a:extLst>
            <a:ext uri="{FF2B5EF4-FFF2-40B4-BE49-F238E27FC236}">
              <a16:creationId xmlns:a16="http://schemas.microsoft.com/office/drawing/2014/main" id="{95AB6CAE-98FD-4710-AB80-E4E901BEA2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1" y="114301"/>
          <a:ext cx="1431926" cy="317206"/>
        </a:xfrm>
        <a:prstGeom prst="rect">
          <a:avLst/>
        </a:prstGeom>
        <a:ln w="12700">
          <a:miter lim="400000"/>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86650"/>
          <a:ext cx="1487303" cy="546867"/>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tabSelected="1" zoomScale="50" zoomScaleNormal="50" workbookViewId="0">
      <selection activeCell="E46" sqref="E46"/>
    </sheetView>
  </sheetViews>
  <sheetFormatPr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4:AR40"/>
  <sheetViews>
    <sheetView zoomScale="90" zoomScaleNormal="90" workbookViewId="0">
      <selection activeCell="I46" sqref="I46"/>
    </sheetView>
  </sheetViews>
  <sheetFormatPr defaultColWidth="11.453125" defaultRowHeight="13.5"/>
  <cols>
    <col min="1" max="1" width="2.81640625" style="142" customWidth="1"/>
    <col min="2" max="2" width="31.08984375" style="1" bestFit="1" customWidth="1"/>
    <col min="3" max="4" width="6.54296875" style="1" bestFit="1" customWidth="1"/>
    <col min="5" max="5" width="7.08984375" style="1" bestFit="1" customWidth="1"/>
    <col min="6" max="6" width="11.453125" style="1"/>
    <col min="7" max="7" width="2.81640625" style="51" bestFit="1" customWidth="1"/>
    <col min="8" max="8" width="31.08984375" style="1" bestFit="1" customWidth="1"/>
    <col min="9" max="44" width="8" style="1" bestFit="1" customWidth="1"/>
    <col min="45" max="16384" width="11.453125" style="1"/>
  </cols>
  <sheetData>
    <row r="4" spans="1:44"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39"/>
      <c r="AR4" s="139"/>
    </row>
    <row r="5" spans="1:44" ht="7.5" customHeight="1">
      <c r="AQ5" s="140"/>
    </row>
    <row r="6" spans="1:44" s="110" customFormat="1" ht="15.75" customHeight="1">
      <c r="A6" s="176">
        <v>1</v>
      </c>
      <c r="B6" s="3" t="s">
        <v>209</v>
      </c>
      <c r="C6" s="208" t="s">
        <v>95</v>
      </c>
      <c r="D6" s="208" t="s">
        <v>263</v>
      </c>
      <c r="E6" s="208" t="s">
        <v>96</v>
      </c>
      <c r="G6" s="111">
        <v>1</v>
      </c>
      <c r="H6" s="3" t="s">
        <v>209</v>
      </c>
      <c r="I6" s="208" t="s">
        <v>109</v>
      </c>
      <c r="J6" s="208" t="s">
        <v>110</v>
      </c>
      <c r="K6" s="208" t="s">
        <v>111</v>
      </c>
      <c r="L6" s="208" t="s">
        <v>112</v>
      </c>
      <c r="M6" s="208" t="s">
        <v>113</v>
      </c>
      <c r="N6" s="208" t="s">
        <v>114</v>
      </c>
      <c r="O6" s="208" t="s">
        <v>115</v>
      </c>
      <c r="P6" s="208" t="s">
        <v>116</v>
      </c>
      <c r="Q6" s="208" t="s">
        <v>117</v>
      </c>
      <c r="R6" s="208" t="s">
        <v>118</v>
      </c>
      <c r="S6" s="208" t="s">
        <v>119</v>
      </c>
      <c r="T6" s="208" t="s">
        <v>120</v>
      </c>
      <c r="U6" s="208" t="s">
        <v>121</v>
      </c>
      <c r="V6" s="208" t="s">
        <v>122</v>
      </c>
      <c r="W6" s="208" t="s">
        <v>123</v>
      </c>
      <c r="X6" s="208" t="s">
        <v>124</v>
      </c>
      <c r="Y6" s="208" t="s">
        <v>125</v>
      </c>
      <c r="Z6" s="208" t="s">
        <v>126</v>
      </c>
      <c r="AA6" s="208" t="s">
        <v>127</v>
      </c>
      <c r="AB6" s="208" t="s">
        <v>128</v>
      </c>
      <c r="AC6" s="208" t="s">
        <v>129</v>
      </c>
      <c r="AD6" s="208" t="s">
        <v>130</v>
      </c>
      <c r="AE6" s="208" t="s">
        <v>131</v>
      </c>
      <c r="AF6" s="208" t="s">
        <v>132</v>
      </c>
      <c r="AG6" s="208" t="s">
        <v>133</v>
      </c>
      <c r="AH6" s="208" t="s">
        <v>134</v>
      </c>
      <c r="AI6" s="208" t="s">
        <v>135</v>
      </c>
      <c r="AJ6" s="208" t="s">
        <v>94</v>
      </c>
      <c r="AK6" s="208" t="s">
        <v>136</v>
      </c>
      <c r="AL6" s="208" t="s">
        <v>137</v>
      </c>
      <c r="AM6" s="208" t="s">
        <v>138</v>
      </c>
      <c r="AN6" s="208" t="s">
        <v>95</v>
      </c>
      <c r="AO6" s="208" t="s">
        <v>231</v>
      </c>
      <c r="AP6" s="208" t="s">
        <v>232</v>
      </c>
      <c r="AQ6" s="211" t="s">
        <v>252</v>
      </c>
      <c r="AR6" s="208" t="s">
        <v>263</v>
      </c>
    </row>
    <row r="7" spans="1:44" s="110" customFormat="1">
      <c r="A7" s="176">
        <v>2</v>
      </c>
      <c r="B7" s="3" t="s">
        <v>161</v>
      </c>
      <c r="C7" s="208"/>
      <c r="D7" s="208"/>
      <c r="E7" s="208"/>
      <c r="G7" s="111">
        <f>G6+1</f>
        <v>2</v>
      </c>
      <c r="H7" s="3" t="s">
        <v>161</v>
      </c>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11"/>
      <c r="AR7" s="211"/>
    </row>
    <row r="8" spans="1:44" ht="4.5" customHeight="1">
      <c r="A8" s="142">
        <v>3</v>
      </c>
      <c r="G8" s="51">
        <f t="shared" ref="G8:G18" si="0">G7+1</f>
        <v>3</v>
      </c>
      <c r="AQ8" s="140"/>
    </row>
    <row r="9" spans="1:44">
      <c r="A9" s="142">
        <v>4</v>
      </c>
      <c r="B9" s="5" t="s">
        <v>210</v>
      </c>
      <c r="C9" s="49">
        <f>HLOOKUP($C$6,$H$6:$AR$18,$G9,FALSE)</f>
        <v>1100.7813189999999</v>
      </c>
      <c r="D9" s="49">
        <f>HLOOKUP($D$6,$H$6:$AR$18,$G9,FALSE)</f>
        <v>1303</v>
      </c>
      <c r="E9" s="30">
        <f>D9/C9-1</f>
        <v>0.18370468094762438</v>
      </c>
      <c r="G9" s="51">
        <f t="shared" si="0"/>
        <v>4</v>
      </c>
      <c r="H9" s="5" t="s">
        <v>210</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13">
        <f>1602.57686574061-AG28</f>
        <v>1520.9973978014436</v>
      </c>
      <c r="AH9" s="13">
        <f>1487.64968383918-AH28</f>
        <v>1412.1633893192181</v>
      </c>
      <c r="AI9" s="13">
        <f>1653.70245341163-AI28</f>
        <v>1541.5597900816299</v>
      </c>
      <c r="AJ9" s="13">
        <f>1426.23105087525-AJ28</f>
        <v>1334.4235706552499</v>
      </c>
      <c r="AK9" s="13">
        <v>1334.4477199999997</v>
      </c>
      <c r="AL9" s="13">
        <v>1245.1891900000003</v>
      </c>
      <c r="AM9" s="13">
        <v>1265.5465099999999</v>
      </c>
      <c r="AN9" s="13">
        <v>1100.7813189999999</v>
      </c>
      <c r="AO9" s="13">
        <v>1182.2998511200001</v>
      </c>
      <c r="AP9" s="13">
        <v>1193.1359740099999</v>
      </c>
      <c r="AQ9" s="173">
        <v>1391.0652981400001</v>
      </c>
      <c r="AR9" s="173">
        <v>1303</v>
      </c>
    </row>
    <row r="10" spans="1:44">
      <c r="A10" s="142">
        <v>5</v>
      </c>
      <c r="B10" s="5" t="s">
        <v>211</v>
      </c>
      <c r="C10" s="49">
        <f>HLOOKUP($C$6,$H$6:$AR$18,$G10,FALSE)</f>
        <v>5155.9745767099994</v>
      </c>
      <c r="D10" s="49">
        <f>HLOOKUP($D$6,$H$6:$AR$18,$G10,FALSE)</f>
        <v>5247.5</v>
      </c>
      <c r="E10" s="30">
        <f>D10/C10-1</f>
        <v>1.7751333317939322E-2</v>
      </c>
      <c r="G10" s="51">
        <f t="shared" si="0"/>
        <v>5</v>
      </c>
      <c r="H10" s="5" t="s">
        <v>211</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13">
        <f>5013.79241971-AG29</f>
        <v>4399.4549288422841</v>
      </c>
      <c r="AH10" s="13">
        <f>5111.54323107-AH29</f>
        <v>4495.3399611761906</v>
      </c>
      <c r="AI10" s="13">
        <f>5074.41705531-AI29</f>
        <v>4473.6280143700005</v>
      </c>
      <c r="AJ10" s="13">
        <f>5234.46087104-AJ29</f>
        <v>4641.8056893799994</v>
      </c>
      <c r="AK10" s="13">
        <v>4676.452040000001</v>
      </c>
      <c r="AL10" s="13">
        <v>4708.7488700000004</v>
      </c>
      <c r="AM10" s="13">
        <v>4766.5920100000003</v>
      </c>
      <c r="AN10" s="13">
        <v>5155.9745767099994</v>
      </c>
      <c r="AO10" s="13">
        <v>5126.7930908633898</v>
      </c>
      <c r="AP10" s="13">
        <v>5132.5084079500002</v>
      </c>
      <c r="AQ10" s="173">
        <v>5132.2106214999985</v>
      </c>
      <c r="AR10" s="173">
        <v>5247.5</v>
      </c>
    </row>
    <row r="11" spans="1:44" ht="5.25" customHeight="1">
      <c r="A11" s="142">
        <v>6</v>
      </c>
      <c r="C11" s="102"/>
      <c r="D11" s="102"/>
      <c r="E11" s="34"/>
      <c r="G11" s="51">
        <f t="shared" si="0"/>
        <v>6</v>
      </c>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74"/>
      <c r="AR11" s="174"/>
    </row>
    <row r="12" spans="1:44">
      <c r="A12" s="142">
        <v>7</v>
      </c>
      <c r="B12" s="95" t="s">
        <v>212</v>
      </c>
      <c r="C12" s="103">
        <f>HLOOKUP($C$6,$H$6:$AR$18,$G12,FALSE)</f>
        <v>6256.7558957099991</v>
      </c>
      <c r="D12" s="103">
        <f>HLOOKUP($D$6,$H$6:$AR$18,$G12,FALSE)</f>
        <v>6550.5</v>
      </c>
      <c r="E12" s="87">
        <f>D12/C12-1</f>
        <v>4.6948308226537838E-2</v>
      </c>
      <c r="G12" s="51">
        <f t="shared" si="0"/>
        <v>7</v>
      </c>
      <c r="H12" s="95" t="s">
        <v>212</v>
      </c>
      <c r="I12" s="86">
        <f>I10+I9</f>
        <v>5963.9159862500001</v>
      </c>
      <c r="J12" s="86">
        <f>J10+J9</f>
        <v>5996.1005711000016</v>
      </c>
      <c r="K12" s="86">
        <f t="shared" ref="K12:M12" si="1">K10+K9</f>
        <v>6050.0419892099999</v>
      </c>
      <c r="L12" s="86">
        <f t="shared" si="1"/>
        <v>6075.8403642699996</v>
      </c>
      <c r="M12" s="86">
        <f t="shared" si="1"/>
        <v>6156.2008316400006</v>
      </c>
      <c r="N12" s="86">
        <f t="shared" ref="N12:O12" si="2">N10+N9</f>
        <v>5910.4028212399999</v>
      </c>
      <c r="O12" s="86">
        <f t="shared" si="2"/>
        <v>6005.1448391099993</v>
      </c>
      <c r="P12" s="86">
        <f t="shared" ref="P12:AA12" si="3">P10+P9</f>
        <v>5994.3771225499995</v>
      </c>
      <c r="Q12" s="86">
        <f t="shared" si="3"/>
        <v>6049.3754122400005</v>
      </c>
      <c r="R12" s="86">
        <f t="shared" si="3"/>
        <v>5818.4899142899985</v>
      </c>
      <c r="S12" s="86">
        <f t="shared" si="3"/>
        <v>5873.0599255899997</v>
      </c>
      <c r="T12" s="86">
        <f t="shared" si="3"/>
        <v>5784.102609890002</v>
      </c>
      <c r="U12" s="86">
        <f t="shared" si="3"/>
        <v>5931.1428321599997</v>
      </c>
      <c r="V12" s="86">
        <f t="shared" si="3"/>
        <v>5769.7528770700001</v>
      </c>
      <c r="W12" s="86">
        <f t="shared" si="3"/>
        <v>5843.1204401699997</v>
      </c>
      <c r="X12" s="86">
        <f t="shared" si="3"/>
        <v>5876.7648621285007</v>
      </c>
      <c r="Y12" s="86">
        <f t="shared" si="3"/>
        <v>5959.7229402060502</v>
      </c>
      <c r="Z12" s="86">
        <f t="shared" si="3"/>
        <v>5731.73446800478</v>
      </c>
      <c r="AA12" s="86">
        <f t="shared" si="3"/>
        <v>6438.5469456948613</v>
      </c>
      <c r="AB12" s="86">
        <f>AB10+AB9</f>
        <v>5897.8133169832199</v>
      </c>
      <c r="AC12" s="86">
        <f>AC10+AC9</f>
        <v>5639.3499999999995</v>
      </c>
      <c r="AD12" s="86">
        <f>AD10+AD9</f>
        <v>5672.7526443779834</v>
      </c>
      <c r="AE12" s="86">
        <f>AE10+AE9</f>
        <v>5718.6463263498235</v>
      </c>
      <c r="AF12" s="86">
        <f>AF10+AF9</f>
        <v>5838.7218390493435</v>
      </c>
      <c r="AG12" s="86">
        <f>+AG9+AG10</f>
        <v>5920.4523266437282</v>
      </c>
      <c r="AH12" s="86">
        <f>+AH9+AH10</f>
        <v>5907.503350495409</v>
      </c>
      <c r="AI12" s="86">
        <f>+AI9+AI10</f>
        <v>6015.1878044516307</v>
      </c>
      <c r="AJ12" s="86">
        <f>6660.69192191525-AJ31</f>
        <v>5976.2292600352494</v>
      </c>
      <c r="AK12" s="86">
        <f>SUM(AK9:AK10)</f>
        <v>6010.8997600000002</v>
      </c>
      <c r="AL12" s="86">
        <f>SUM(AL9:AL10)</f>
        <v>5953.9380600000004</v>
      </c>
      <c r="AM12" s="86">
        <f>SUM(AM9:AM10)</f>
        <v>6032.1385200000004</v>
      </c>
      <c r="AN12" s="86">
        <f>SUM(AN9:AN10)</f>
        <v>6256.7558957099991</v>
      </c>
      <c r="AO12" s="86">
        <f t="shared" ref="AO12:AP12" si="4">SUM(AO9:AO10)</f>
        <v>6309.0929419833901</v>
      </c>
      <c r="AP12" s="86">
        <f t="shared" si="4"/>
        <v>6325.6443819599999</v>
      </c>
      <c r="AQ12" s="164">
        <f>SUM(AQ9:AQ10)</f>
        <v>6523.2759196399984</v>
      </c>
      <c r="AR12" s="164">
        <f>SUM(AR9:AR10)</f>
        <v>6550.5</v>
      </c>
    </row>
    <row r="13" spans="1:44" ht="5.25" customHeight="1">
      <c r="A13" s="142">
        <v>8</v>
      </c>
      <c r="C13" s="77"/>
      <c r="D13" s="77"/>
      <c r="G13" s="51">
        <f t="shared" si="0"/>
        <v>8</v>
      </c>
      <c r="AQ13" s="140"/>
      <c r="AR13" s="140"/>
    </row>
    <row r="14" spans="1:44">
      <c r="A14" s="142">
        <v>9</v>
      </c>
      <c r="B14" s="5" t="s">
        <v>213</v>
      </c>
      <c r="C14" s="49">
        <f>HLOOKUP($C$6,$H$6:$AR$18,$G14,FALSE)</f>
        <v>292.86554606999999</v>
      </c>
      <c r="D14" s="49">
        <f>HLOOKUP($D$6,$H$6:$AR$18,$G14,FALSE)</f>
        <v>287.89999999999998</v>
      </c>
      <c r="E14" s="30">
        <f>D14/C14-1</f>
        <v>-1.6955036659768608E-2</v>
      </c>
      <c r="G14" s="51">
        <f t="shared" si="0"/>
        <v>9</v>
      </c>
      <c r="H14" s="5" t="s">
        <v>213</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13">
        <f>462.20512787402-AG33</f>
        <v>367.09936456401999</v>
      </c>
      <c r="AH14" s="13">
        <f>396.62735860708-AH33</f>
        <v>297.17490132707997</v>
      </c>
      <c r="AI14" s="13">
        <f>415.76991396552-AI33</f>
        <v>297.09131362552</v>
      </c>
      <c r="AJ14" s="13">
        <f>470.80527333096-AJ33</f>
        <v>384.12393090095998</v>
      </c>
      <c r="AK14" s="13">
        <v>367.38</v>
      </c>
      <c r="AL14" s="13">
        <f>330.717-AL33</f>
        <v>244.61656753999998</v>
      </c>
      <c r="AM14" s="13">
        <v>244.42214000000001</v>
      </c>
      <c r="AN14" s="13">
        <v>292.86554606999999</v>
      </c>
      <c r="AO14" s="13">
        <v>270.89103456999999</v>
      </c>
      <c r="AP14" s="13">
        <v>242.55715112999997</v>
      </c>
      <c r="AQ14" s="173">
        <v>210.00918444999999</v>
      </c>
      <c r="AR14" s="173">
        <v>287.89999999999998</v>
      </c>
    </row>
    <row r="15" spans="1:44">
      <c r="A15" s="142">
        <v>10</v>
      </c>
      <c r="B15" s="5" t="s">
        <v>214</v>
      </c>
      <c r="C15" s="49">
        <f>HLOOKUP($C$6,$H$6:$AR$18,$G15,FALSE)</f>
        <v>3033.8903372</v>
      </c>
      <c r="D15" s="49">
        <f>HLOOKUP($D$6,$H$6:$AR$18,$G15,FALSE)</f>
        <v>3299</v>
      </c>
      <c r="E15" s="30">
        <f>D15/C15-1</f>
        <v>8.7382744046270222E-2</v>
      </c>
      <c r="G15" s="51">
        <f t="shared" si="0"/>
        <v>10</v>
      </c>
      <c r="H15" s="5" t="s">
        <v>214</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13">
        <f>3098.53024229-AG34</f>
        <v>2781.4902345400001</v>
      </c>
      <c r="AH15" s="13">
        <f>3095.15550304419-AH34</f>
        <v>2780.1934199341899</v>
      </c>
      <c r="AI15" s="13">
        <f>3079.06228918954-AI34</f>
        <v>2778.2397278195399</v>
      </c>
      <c r="AJ15" s="13">
        <f>3092.60975351764-AJ34</f>
        <v>2793.8976854276398</v>
      </c>
      <c r="AK15" s="13">
        <v>2790.25</v>
      </c>
      <c r="AL15" s="13">
        <v>2792.09</v>
      </c>
      <c r="AM15" s="13">
        <v>2795.76658</v>
      </c>
      <c r="AN15" s="13">
        <v>3033.8903372</v>
      </c>
      <c r="AO15" s="13">
        <v>3035.77645936</v>
      </c>
      <c r="AP15" s="13">
        <v>3040.9514760799998</v>
      </c>
      <c r="AQ15" s="173">
        <v>3328.9051896599999</v>
      </c>
      <c r="AR15" s="173">
        <v>3299</v>
      </c>
    </row>
    <row r="16" spans="1:44">
      <c r="A16" s="142">
        <v>11</v>
      </c>
      <c r="B16" s="5" t="s">
        <v>215</v>
      </c>
      <c r="C16" s="49">
        <f>HLOOKUP($C$6,$H$6:$AR$18,$G16,FALSE)</f>
        <v>2803.8624415499999</v>
      </c>
      <c r="D16" s="104">
        <f>HLOOKUP($D$6,$H$6:$AR$18,$G16,FALSE)</f>
        <v>2962.3</v>
      </c>
      <c r="E16" s="30">
        <f t="shared" ref="E16" si="5">D16/C16-1</f>
        <v>5.6506894240651251E-2</v>
      </c>
      <c r="G16" s="51">
        <f t="shared" si="0"/>
        <v>11</v>
      </c>
      <c r="H16" s="5" t="s">
        <v>215</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13">
        <v>2615.6499999999996</v>
      </c>
      <c r="AD16" s="13">
        <v>2611.7799999999997</v>
      </c>
      <c r="AE16" s="13">
        <v>2686.3448447800001</v>
      </c>
      <c r="AF16" s="13">
        <f>2952.87638449-AF35</f>
        <v>2677.7029788199998</v>
      </c>
      <c r="AG16" s="13">
        <f>3055.63422723-AG35</f>
        <v>2771.8630394812817</v>
      </c>
      <c r="AH16" s="13">
        <f>3107.4072812-AH35</f>
        <v>2830.1322571680316</v>
      </c>
      <c r="AI16" s="13">
        <f>3233.28783324-AI35</f>
        <v>2939.85729068</v>
      </c>
      <c r="AJ16" s="13">
        <f>3097.27692122-AJ35</f>
        <v>2798.2076698600004</v>
      </c>
      <c r="AK16" s="13">
        <f>3152.9-AK35</f>
        <v>2853.3147218600002</v>
      </c>
      <c r="AL16" s="13">
        <f>3092.223-AL35</f>
        <v>2793.35203374</v>
      </c>
      <c r="AM16" s="13">
        <f>2862.59173+129.4</f>
        <v>2991.9917300000002</v>
      </c>
      <c r="AN16" s="13">
        <v>2803.8624415499999</v>
      </c>
      <c r="AO16" s="13">
        <v>3002.3604785199987</v>
      </c>
      <c r="AP16" s="13">
        <v>3042.1343944499995</v>
      </c>
      <c r="AQ16" s="173">
        <v>2984.3625350300003</v>
      </c>
      <c r="AR16" s="173">
        <v>2962.3</v>
      </c>
    </row>
    <row r="17" spans="1:44" ht="4.5" customHeight="1">
      <c r="A17" s="142">
        <v>12</v>
      </c>
      <c r="C17" s="77"/>
      <c r="D17" s="77"/>
      <c r="E17" s="33"/>
      <c r="G17" s="51">
        <f t="shared" si="0"/>
        <v>12</v>
      </c>
      <c r="AQ17" s="140"/>
      <c r="AR17" s="140"/>
    </row>
    <row r="18" spans="1:44">
      <c r="A18" s="142">
        <v>13</v>
      </c>
      <c r="B18" s="95" t="s">
        <v>216</v>
      </c>
      <c r="C18" s="103">
        <f>HLOOKUP($C$6,$H$6:$AR$18,$G18,FALSE)</f>
        <v>6130.6183248199995</v>
      </c>
      <c r="D18" s="103">
        <f>HLOOKUP($D$6,$H$6:$AR$18,$G18,FALSE)</f>
        <v>6549.2000000000007</v>
      </c>
      <c r="E18" s="87">
        <f>D18/C18-1</f>
        <v>6.8277236161540245E-2</v>
      </c>
      <c r="G18" s="51">
        <f t="shared" si="0"/>
        <v>13</v>
      </c>
      <c r="H18" s="95" t="s">
        <v>216</v>
      </c>
      <c r="I18" s="86">
        <f>SUM(I14:I16)</f>
        <v>5963.2306540000009</v>
      </c>
      <c r="J18" s="86">
        <f t="shared" ref="J18" si="6">SUM(J14:J16)</f>
        <v>5996.1005710999998</v>
      </c>
      <c r="K18" s="86">
        <f>SUM(K14:K16)</f>
        <v>6050.0419892099999</v>
      </c>
      <c r="L18" s="86">
        <f t="shared" ref="L18:N18" si="7">SUM(L14:L16)</f>
        <v>6075.8403642700005</v>
      </c>
      <c r="M18" s="86">
        <f t="shared" si="7"/>
        <v>6156.2008316399997</v>
      </c>
      <c r="N18" s="86">
        <f t="shared" si="7"/>
        <v>5910.4028212400008</v>
      </c>
      <c r="O18" s="86">
        <f t="shared" ref="O18:R18" si="8">SUM(O14:O16)</f>
        <v>6005.1448391100002</v>
      </c>
      <c r="P18" s="86">
        <f t="shared" si="8"/>
        <v>5994.3771225500004</v>
      </c>
      <c r="Q18" s="86">
        <f t="shared" si="8"/>
        <v>6049.3754122399996</v>
      </c>
      <c r="R18" s="86">
        <f t="shared" si="8"/>
        <v>5818.4996340400012</v>
      </c>
      <c r="S18" s="86">
        <f t="shared" ref="S18:Y18" si="9">SUM(S14:S16)</f>
        <v>5873.0599255899997</v>
      </c>
      <c r="T18" s="86">
        <f t="shared" si="9"/>
        <v>5784.1357809500005</v>
      </c>
      <c r="U18" s="86">
        <f t="shared" si="9"/>
        <v>5931.17600322</v>
      </c>
      <c r="V18" s="86">
        <f t="shared" si="9"/>
        <v>5769.7528770700001</v>
      </c>
      <c r="W18" s="86">
        <f t="shared" si="9"/>
        <v>5843.1204401699997</v>
      </c>
      <c r="X18" s="86">
        <f t="shared" si="9"/>
        <v>5876.7761575741733</v>
      </c>
      <c r="Y18" s="86">
        <f t="shared" si="9"/>
        <v>5959.6935400399998</v>
      </c>
      <c r="Z18" s="86">
        <f>SUM(Z14:Z16)</f>
        <v>5731.7145171299999</v>
      </c>
      <c r="AA18" s="86">
        <f>SUM(AA14:AA16)</f>
        <v>6438.5823065754594</v>
      </c>
      <c r="AB18" s="86">
        <f>SUM(AB14:AB16)</f>
        <v>5897.7884625999995</v>
      </c>
      <c r="AC18" s="86">
        <f>SUM(AC14:AC16)</f>
        <v>5639.44</v>
      </c>
      <c r="AD18" s="86">
        <f>SUM(AD14:AD16)</f>
        <v>5672.7599999999993</v>
      </c>
      <c r="AE18" s="86">
        <f>+AE14+AE15+AE16</f>
        <v>5718.6463493271103</v>
      </c>
      <c r="AF18" s="86">
        <f>+AF14+AF15+AF16</f>
        <v>5886.4955877622106</v>
      </c>
      <c r="AG18" s="86">
        <f>+AG14+AG15+AG16</f>
        <v>5920.4526385853023</v>
      </c>
      <c r="AH18" s="86">
        <f>+SUM(AH14:AH16)</f>
        <v>5907.5005784293016</v>
      </c>
      <c r="AI18" s="86">
        <f>SUM(AI14:AI16)</f>
        <v>6015.1883321250598</v>
      </c>
      <c r="AJ18" s="86">
        <f>6660.6919480686-AJ37</f>
        <v>5976.2292861885999</v>
      </c>
      <c r="AK18" s="86">
        <f>SUM(AK14:AK16)</f>
        <v>6010.9447218599998</v>
      </c>
      <c r="AL18" s="86">
        <f>SUM(AL14:AL16)</f>
        <v>5830.0586012799995</v>
      </c>
      <c r="AM18" s="86">
        <f>SUM(AM14:AM16)</f>
        <v>6032.1804499999998</v>
      </c>
      <c r="AN18" s="86">
        <f>SUM(AN14:AN16)</f>
        <v>6130.6183248199995</v>
      </c>
      <c r="AO18" s="86">
        <f t="shared" ref="AO18:AP18" si="10">SUM(AO14:AO16)</f>
        <v>6309.0279724499987</v>
      </c>
      <c r="AP18" s="86">
        <f t="shared" si="10"/>
        <v>6325.6430216599992</v>
      </c>
      <c r="AQ18" s="164">
        <f>SUM(AQ14:AQ16)</f>
        <v>6523.2769091400005</v>
      </c>
      <c r="AR18" s="164">
        <f>SUM(AR14:AR16)</f>
        <v>6549.2000000000007</v>
      </c>
    </row>
    <row r="19" spans="1:44">
      <c r="AP19" s="184"/>
      <c r="AQ19" s="184"/>
    </row>
    <row r="20" spans="1:44">
      <c r="AQ20" s="140"/>
    </row>
    <row r="21" spans="1:44">
      <c r="AQ21" s="140"/>
    </row>
    <row r="22" spans="1:44">
      <c r="AQ22" s="140"/>
    </row>
    <row r="23" spans="1:44" ht="23.5">
      <c r="B23" s="11" t="s">
        <v>28</v>
      </c>
      <c r="C23" s="12"/>
      <c r="D23" s="12"/>
      <c r="E23" s="12"/>
      <c r="H23" s="11" t="s">
        <v>28</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39"/>
      <c r="AR23" s="139"/>
    </row>
    <row r="24" spans="1:44" ht="7.5" customHeight="1">
      <c r="AQ24" s="140"/>
    </row>
    <row r="25" spans="1:44" s="110" customFormat="1">
      <c r="A25" s="176">
        <v>1</v>
      </c>
      <c r="B25" s="3" t="s">
        <v>209</v>
      </c>
      <c r="C25" s="208" t="str">
        <f>C6</f>
        <v>4Q24</v>
      </c>
      <c r="D25" s="208" t="str">
        <f>D6</f>
        <v>4Q25</v>
      </c>
      <c r="E25" s="208" t="s">
        <v>96</v>
      </c>
      <c r="G25" s="111">
        <v>1</v>
      </c>
      <c r="H25" s="3" t="s">
        <v>209</v>
      </c>
      <c r="I25" s="208" t="s">
        <v>109</v>
      </c>
      <c r="J25" s="208" t="s">
        <v>110</v>
      </c>
      <c r="K25" s="208" t="s">
        <v>111</v>
      </c>
      <c r="L25" s="208" t="s">
        <v>112</v>
      </c>
      <c r="M25" s="208" t="s">
        <v>113</v>
      </c>
      <c r="N25" s="208" t="s">
        <v>114</v>
      </c>
      <c r="O25" s="208" t="s">
        <v>115</v>
      </c>
      <c r="P25" s="208" t="s">
        <v>116</v>
      </c>
      <c r="Q25" s="208" t="s">
        <v>117</v>
      </c>
      <c r="R25" s="208" t="s">
        <v>118</v>
      </c>
      <c r="S25" s="208" t="s">
        <v>119</v>
      </c>
      <c r="T25" s="208" t="s">
        <v>120</v>
      </c>
      <c r="U25" s="208" t="s">
        <v>121</v>
      </c>
      <c r="V25" s="208" t="s">
        <v>122</v>
      </c>
      <c r="W25" s="208" t="s">
        <v>123</v>
      </c>
      <c r="X25" s="208" t="s">
        <v>124</v>
      </c>
      <c r="Y25" s="208" t="s">
        <v>125</v>
      </c>
      <c r="Z25" s="208" t="s">
        <v>126</v>
      </c>
      <c r="AA25" s="208" t="s">
        <v>127</v>
      </c>
      <c r="AB25" s="208" t="s">
        <v>128</v>
      </c>
      <c r="AC25" s="208" t="s">
        <v>129</v>
      </c>
      <c r="AD25" s="208" t="s">
        <v>130</v>
      </c>
      <c r="AE25" s="208" t="s">
        <v>131</v>
      </c>
      <c r="AF25" s="208" t="s">
        <v>132</v>
      </c>
      <c r="AG25" s="208" t="s">
        <v>133</v>
      </c>
      <c r="AH25" s="208" t="s">
        <v>134</v>
      </c>
      <c r="AI25" s="208" t="s">
        <v>135</v>
      </c>
      <c r="AJ25" s="208" t="s">
        <v>94</v>
      </c>
      <c r="AK25" s="208" t="s">
        <v>136</v>
      </c>
      <c r="AL25" s="208" t="s">
        <v>137</v>
      </c>
      <c r="AM25" s="208" t="s">
        <v>138</v>
      </c>
      <c r="AN25" s="208" t="s">
        <v>95</v>
      </c>
      <c r="AO25" s="208" t="s">
        <v>231</v>
      </c>
      <c r="AP25" s="208" t="s">
        <v>232</v>
      </c>
      <c r="AQ25" s="211" t="s">
        <v>252</v>
      </c>
      <c r="AR25" s="208" t="s">
        <v>263</v>
      </c>
    </row>
    <row r="26" spans="1:44" s="110" customFormat="1">
      <c r="A26" s="176">
        <v>2</v>
      </c>
      <c r="B26" s="3" t="s">
        <v>161</v>
      </c>
      <c r="C26" s="208"/>
      <c r="D26" s="208"/>
      <c r="E26" s="208"/>
      <c r="G26" s="111">
        <f>G25+1</f>
        <v>2</v>
      </c>
      <c r="H26" s="3" t="s">
        <v>161</v>
      </c>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11"/>
      <c r="AR26" s="211"/>
    </row>
    <row r="27" spans="1:44" ht="4.5" customHeight="1">
      <c r="A27" s="142">
        <v>3</v>
      </c>
      <c r="G27" s="51">
        <f t="shared" ref="G27:G37" si="11">G26+1</f>
        <v>3</v>
      </c>
      <c r="AQ27" s="140"/>
    </row>
    <row r="28" spans="1:44">
      <c r="A28" s="142">
        <v>4</v>
      </c>
      <c r="B28" s="5" t="s">
        <v>210</v>
      </c>
      <c r="C28" s="49">
        <f>HLOOKUP($C$25,$H$25:$AR$37,$G28,FALSE)</f>
        <v>99.294908902690167</v>
      </c>
      <c r="D28" s="49">
        <f>HLOOKUP($D$25,$H$25:$AR$37,$G28,FALSE)</f>
        <v>110.28743542000001</v>
      </c>
      <c r="E28" s="30">
        <f>D28/C28-1</f>
        <v>0.1107058422107281</v>
      </c>
      <c r="G28" s="51">
        <f t="shared" si="11"/>
        <v>4</v>
      </c>
      <c r="H28" s="5" t="s">
        <v>210</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c r="AL28" s="13">
        <v>103.00071677000001</v>
      </c>
      <c r="AM28" s="13">
        <v>102.4329743</v>
      </c>
      <c r="AN28" s="13">
        <f>1200.07622790269 -AN9</f>
        <v>99.294908902690167</v>
      </c>
      <c r="AO28" s="13">
        <v>101.35678738</v>
      </c>
      <c r="AP28" s="13">
        <v>114.13120990999998</v>
      </c>
      <c r="AQ28" s="173">
        <v>117.25346799</v>
      </c>
      <c r="AR28" s="173">
        <v>110.28743542000001</v>
      </c>
    </row>
    <row r="29" spans="1:44">
      <c r="A29" s="142">
        <v>5</v>
      </c>
      <c r="B29" s="5" t="s">
        <v>211</v>
      </c>
      <c r="C29" s="49">
        <f>HLOOKUP($C$25,$H$25:$AR$37,$G29,FALSE)</f>
        <v>552.15335651353053</v>
      </c>
      <c r="D29" s="49">
        <f>HLOOKUP($D$25,$H$25:$AR$37,$G29,FALSE)</f>
        <v>538.25697654999999</v>
      </c>
      <c r="E29" s="30">
        <f>D29/C29-1</f>
        <v>-2.5167609323751394E-2</v>
      </c>
      <c r="G29" s="51">
        <f t="shared" si="11"/>
        <v>5</v>
      </c>
      <c r="H29" s="5" t="s">
        <v>211</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c r="AL29" s="13">
        <v>568.24146069000005</v>
      </c>
      <c r="AM29" s="13">
        <v>563.45038733000001</v>
      </c>
      <c r="AN29" s="13">
        <f>5708.12793322353 -AN10</f>
        <v>552.15335651353053</v>
      </c>
      <c r="AO29" s="13">
        <v>547.61885804000008</v>
      </c>
      <c r="AP29" s="13">
        <v>547.71287045999998</v>
      </c>
      <c r="AQ29" s="173">
        <v>542.22323768999991</v>
      </c>
      <c r="AR29" s="173">
        <v>538.25697654999999</v>
      </c>
    </row>
    <row r="30" spans="1:44" ht="4.5" customHeight="1">
      <c r="A30" s="142">
        <v>6</v>
      </c>
      <c r="C30" s="77"/>
      <c r="D30" s="77"/>
      <c r="E30" s="33"/>
      <c r="G30" s="51">
        <f t="shared" si="11"/>
        <v>6</v>
      </c>
      <c r="AQ30" s="140"/>
      <c r="AR30" s="140"/>
    </row>
    <row r="31" spans="1:44">
      <c r="A31" s="142">
        <v>7</v>
      </c>
      <c r="B31" s="95" t="s">
        <v>212</v>
      </c>
      <c r="C31" s="103">
        <f>HLOOKUP($C$25,$H$25:$AR$37,$G31,FALSE)</f>
        <v>651.44826541622069</v>
      </c>
      <c r="D31" s="103">
        <f>HLOOKUP($D$25,$H$25:$AR$37,$G31,FALSE)</f>
        <v>648.54441197000006</v>
      </c>
      <c r="E31" s="87">
        <f>D31/C31-1</f>
        <v>-4.4575350037432404E-3</v>
      </c>
      <c r="G31" s="51">
        <f t="shared" si="11"/>
        <v>7</v>
      </c>
      <c r="H31" s="95" t="s">
        <v>212</v>
      </c>
      <c r="I31" s="86">
        <f>I29+I28</f>
        <v>833.93535231999988</v>
      </c>
      <c r="J31" s="86">
        <f t="shared" ref="J31:K31" si="12">J29+J28</f>
        <v>829.67564342999992</v>
      </c>
      <c r="K31" s="86">
        <f t="shared" si="12"/>
        <v>846.79471059000014</v>
      </c>
      <c r="L31" s="86">
        <f t="shared" ref="L31:N31" si="13">L29+L28</f>
        <v>846.70143558999996</v>
      </c>
      <c r="M31" s="86">
        <f t="shared" si="13"/>
        <v>829.91270053999995</v>
      </c>
      <c r="N31" s="86">
        <f t="shared" si="13"/>
        <v>828.01799592999998</v>
      </c>
      <c r="O31" s="86">
        <f t="shared" ref="O31" si="14">O29+O28</f>
        <v>814.4146763900003</v>
      </c>
      <c r="P31" s="86">
        <f t="shared" ref="P31:AA31" si="15">+P28+P29</f>
        <v>783.9715697800001</v>
      </c>
      <c r="Q31" s="86">
        <f t="shared" si="15"/>
        <v>801.09662344000003</v>
      </c>
      <c r="R31" s="86">
        <f t="shared" si="15"/>
        <v>929.57391276999988</v>
      </c>
      <c r="S31" s="86">
        <f t="shared" si="15"/>
        <v>907.04075907000004</v>
      </c>
      <c r="T31" s="86">
        <f t="shared" si="15"/>
        <v>921.2140707399999</v>
      </c>
      <c r="U31" s="86">
        <f t="shared" si="15"/>
        <v>930.31909736999989</v>
      </c>
      <c r="V31" s="86">
        <f t="shared" si="15"/>
        <v>932.9097297699999</v>
      </c>
      <c r="W31" s="86">
        <f t="shared" si="15"/>
        <v>888.51798156999985</v>
      </c>
      <c r="X31" s="86">
        <f t="shared" si="15"/>
        <v>757.11532938999972</v>
      </c>
      <c r="Y31" s="86">
        <f t="shared" si="15"/>
        <v>734.02186934999986</v>
      </c>
      <c r="Z31" s="86">
        <f t="shared" si="15"/>
        <v>736.04275189999998</v>
      </c>
      <c r="AA31" s="86">
        <f t="shared" si="15"/>
        <v>705.68918384709832</v>
      </c>
      <c r="AB31" s="86">
        <f t="shared" ref="AB31:AH31" si="16">+AB28+AB29</f>
        <v>704.69445911999946</v>
      </c>
      <c r="AC31" s="86">
        <f t="shared" si="16"/>
        <v>709.82864552994829</v>
      </c>
      <c r="AD31" s="86">
        <f t="shared" si="16"/>
        <v>712.07862698315648</v>
      </c>
      <c r="AE31" s="86">
        <f t="shared" si="16"/>
        <v>687.29623494984685</v>
      </c>
      <c r="AF31" s="86">
        <f t="shared" si="16"/>
        <v>719.47816095065605</v>
      </c>
      <c r="AG31" s="86">
        <f t="shared" si="16"/>
        <v>695.91695880688212</v>
      </c>
      <c r="AH31" s="86">
        <f t="shared" si="16"/>
        <v>691.68956441377111</v>
      </c>
      <c r="AI31" s="86">
        <v>712.93170427000018</v>
      </c>
      <c r="AJ31" s="86">
        <f>SUM(AJ28:AJ29)</f>
        <v>684.46266188000016</v>
      </c>
      <c r="AK31" s="86">
        <f>SUM(AK28:AK29)</f>
        <v>669.41204916000038</v>
      </c>
      <c r="AL31" s="86">
        <f>SUM(AL28:AL29)</f>
        <v>671.24217746000011</v>
      </c>
      <c r="AM31" s="86">
        <f>SUM(AM28:AM29)</f>
        <v>665.88336162999997</v>
      </c>
      <c r="AN31" s="86">
        <f>SUM(AN28:AN29)</f>
        <v>651.44826541622069</v>
      </c>
      <c r="AO31" s="86">
        <f t="shared" ref="AO31:AP31" si="17">SUM(AO28:AO29)</f>
        <v>648.97564542000009</v>
      </c>
      <c r="AP31" s="86">
        <f t="shared" si="17"/>
        <v>661.84408036999992</v>
      </c>
      <c r="AQ31" s="164">
        <f>SUM(AQ28:AQ29)</f>
        <v>659.4767056799999</v>
      </c>
      <c r="AR31" s="164">
        <f>SUM(AR28:AR29)</f>
        <v>648.54441197000006</v>
      </c>
    </row>
    <row r="32" spans="1:44" ht="4.5" customHeight="1">
      <c r="A32" s="142">
        <v>8</v>
      </c>
      <c r="C32" s="77"/>
      <c r="D32" s="77"/>
      <c r="E32" s="33"/>
      <c r="G32" s="51">
        <f t="shared" si="11"/>
        <v>8</v>
      </c>
      <c r="AQ32" s="140"/>
      <c r="AR32" s="140"/>
    </row>
    <row r="33" spans="1:44">
      <c r="A33" s="142">
        <v>9</v>
      </c>
      <c r="B33" s="5" t="s">
        <v>213</v>
      </c>
      <c r="C33" s="49">
        <f>HLOOKUP($C$25,$H$25:$AR$37,$G33,FALSE)</f>
        <v>77.289836730366005</v>
      </c>
      <c r="D33" s="49">
        <f>HLOOKUP($D$25,$H$25:$AR$37,$G33,FALSE)</f>
        <v>88.161131970000014</v>
      </c>
      <c r="E33" s="30">
        <f>D33/C33-1</f>
        <v>0.14065620655351752</v>
      </c>
      <c r="G33" s="51">
        <f t="shared" si="11"/>
        <v>9</v>
      </c>
      <c r="H33" s="5" t="s">
        <v>213</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c r="AL33" s="13">
        <v>86.100432460000007</v>
      </c>
      <c r="AM33" s="13">
        <v>81.810877219999995</v>
      </c>
      <c r="AN33" s="13">
        <f>370.155382800366-AN14</f>
        <v>77.289836730366005</v>
      </c>
      <c r="AO33" s="13">
        <v>77.633119739999998</v>
      </c>
      <c r="AP33" s="13">
        <v>83.231348110000013</v>
      </c>
      <c r="AQ33" s="173">
        <v>82.894767389999998</v>
      </c>
      <c r="AR33" s="173">
        <v>88.161131970000014</v>
      </c>
    </row>
    <row r="34" spans="1:44">
      <c r="A34" s="142">
        <v>10</v>
      </c>
      <c r="B34" s="5" t="s">
        <v>217</v>
      </c>
      <c r="C34" s="49">
        <f>HLOOKUP($C$25,$H$25:$AR$37,$G34,FALSE)</f>
        <v>273.76268709594024</v>
      </c>
      <c r="D34" s="49">
        <f>HLOOKUP($D$25,$H$25:$AR$37,$G34,FALSE)</f>
        <v>277.45701650000007</v>
      </c>
      <c r="E34" s="30">
        <f t="shared" ref="E34:E35" si="18">D34/C34-1</f>
        <v>1.3494641812765273E-2</v>
      </c>
      <c r="G34" s="51">
        <f t="shared" si="11"/>
        <v>10</v>
      </c>
      <c r="H34" s="5" t="s">
        <v>217</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c r="AL34" s="13">
        <v>286.27077874000003</v>
      </c>
      <c r="AM34" s="13">
        <v>276.00658606000002</v>
      </c>
      <c r="AN34" s="13">
        <f>3307.65302429594 -AN15</f>
        <v>273.76268709594024</v>
      </c>
      <c r="AO34" s="13">
        <v>262.31655753999996</v>
      </c>
      <c r="AP34" s="13">
        <v>259.85900346999995</v>
      </c>
      <c r="AQ34" s="173">
        <v>248.40318901000001</v>
      </c>
      <c r="AR34" s="173">
        <v>277.45701650000007</v>
      </c>
    </row>
    <row r="35" spans="1:44">
      <c r="A35" s="142">
        <v>11</v>
      </c>
      <c r="B35" s="5" t="s">
        <v>218</v>
      </c>
      <c r="C35" s="49">
        <f>HLOOKUP($C$25,$H$25:$AR$37,$G35,FALSE)</f>
        <v>426.53343082786023</v>
      </c>
      <c r="D35" s="49">
        <f>HLOOKUP($D$25,$H$25:$AR$37,$G35,FALSE)</f>
        <v>282.92921977999998</v>
      </c>
      <c r="E35" s="30">
        <f t="shared" si="18"/>
        <v>-0.33667750443180577</v>
      </c>
      <c r="G35" s="51">
        <f t="shared" si="11"/>
        <v>11</v>
      </c>
      <c r="H35" s="5" t="s">
        <v>218</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13">
        <v>277.27502403196837</v>
      </c>
      <c r="AI35" s="13">
        <v>293.43054256000005</v>
      </c>
      <c r="AJ35" s="13">
        <v>299.06925135999995</v>
      </c>
      <c r="AK35" s="13">
        <v>299.58527814000001</v>
      </c>
      <c r="AL35" s="13">
        <v>298.87096625999993</v>
      </c>
      <c r="AM35" s="13">
        <v>308.06589835000005</v>
      </c>
      <c r="AN35" s="13">
        <f>3230.39587237786-AN16</f>
        <v>426.53343082786023</v>
      </c>
      <c r="AO35" s="13">
        <v>309.02638750000006</v>
      </c>
      <c r="AP35" s="13">
        <v>318.75511347999998</v>
      </c>
      <c r="AQ35" s="173">
        <v>328.18101970999999</v>
      </c>
      <c r="AR35" s="173">
        <v>282.92921977999998</v>
      </c>
    </row>
    <row r="36" spans="1:44" ht="4.5" customHeight="1">
      <c r="A36" s="142">
        <v>12</v>
      </c>
      <c r="C36" s="77"/>
      <c r="D36" s="77"/>
      <c r="E36" s="33"/>
      <c r="G36" s="51">
        <f t="shared" si="11"/>
        <v>12</v>
      </c>
      <c r="AQ36" s="140"/>
      <c r="AR36" s="140"/>
    </row>
    <row r="37" spans="1:44">
      <c r="A37" s="142">
        <v>13</v>
      </c>
      <c r="B37" s="95" t="s">
        <v>216</v>
      </c>
      <c r="C37" s="103">
        <f>HLOOKUP($C$25,$H$25:$AR$37,$G37,FALSE)</f>
        <v>777.58595465416647</v>
      </c>
      <c r="D37" s="103">
        <f>HLOOKUP($D$25,$H$25:$AR$37,$G37,FALSE)</f>
        <v>648.54736825000009</v>
      </c>
      <c r="E37" s="87">
        <f>D37/C37-1</f>
        <v>-0.16594768158017548</v>
      </c>
      <c r="G37" s="51">
        <f t="shared" si="11"/>
        <v>13</v>
      </c>
      <c r="H37" s="95" t="s">
        <v>216</v>
      </c>
      <c r="I37" s="86">
        <f>SUM(I33:I35)</f>
        <v>833.93535231999999</v>
      </c>
      <c r="J37" s="86">
        <f t="shared" ref="J37:K37" si="19">SUM(J33:J35)</f>
        <v>829.67564343000004</v>
      </c>
      <c r="K37" s="86">
        <f t="shared" si="19"/>
        <v>846.79471059000002</v>
      </c>
      <c r="L37" s="86">
        <f t="shared" ref="L37:N37" si="20">SUM(L33:L35)</f>
        <v>846.70143558999985</v>
      </c>
      <c r="M37" s="86">
        <f t="shared" si="20"/>
        <v>829.91270053999983</v>
      </c>
      <c r="N37" s="86">
        <f t="shared" si="20"/>
        <v>828.01799592999987</v>
      </c>
      <c r="O37" s="86">
        <f t="shared" ref="O37:S37" si="21">SUM(O33:O35)</f>
        <v>814.41467638999995</v>
      </c>
      <c r="P37" s="86">
        <f t="shared" si="21"/>
        <v>783.97156977999998</v>
      </c>
      <c r="Q37" s="86">
        <f t="shared" si="21"/>
        <v>801.09662344000003</v>
      </c>
      <c r="R37" s="86">
        <f t="shared" si="21"/>
        <v>929.57391276999988</v>
      </c>
      <c r="S37" s="86">
        <f t="shared" si="21"/>
        <v>907.04075906999992</v>
      </c>
      <c r="T37" s="86">
        <f t="shared" ref="T37:U37" si="22">SUM(T33:T35)</f>
        <v>921.2140707399999</v>
      </c>
      <c r="U37" s="86">
        <f t="shared" si="22"/>
        <v>930.31909737000001</v>
      </c>
      <c r="V37" s="86">
        <f>SUM(V33:V35)</f>
        <v>932.90972977000001</v>
      </c>
      <c r="W37" s="86">
        <f>SUM(W33:W35)</f>
        <v>888.51798157000007</v>
      </c>
      <c r="X37" s="86">
        <f>SUM(X33:X35)</f>
        <v>757.11540714</v>
      </c>
      <c r="Y37" s="86">
        <f t="shared" ref="Y37" si="23">SUM(Y33:Y35)</f>
        <v>734.03319145</v>
      </c>
      <c r="Z37" s="86">
        <f t="shared" ref="Z37:AF37" si="24">SUM(Z33:Z35)</f>
        <v>735.97548286999995</v>
      </c>
      <c r="AA37" s="86">
        <f t="shared" si="24"/>
        <v>705.65469342454105</v>
      </c>
      <c r="AB37" s="86">
        <f t="shared" si="24"/>
        <v>704.71953740000004</v>
      </c>
      <c r="AC37" s="86">
        <f t="shared" si="24"/>
        <v>709.82575362986358</v>
      </c>
      <c r="AD37" s="86">
        <f t="shared" si="24"/>
        <v>712.0786269830719</v>
      </c>
      <c r="AE37" s="86">
        <f t="shared" si="24"/>
        <v>687.2962349500001</v>
      </c>
      <c r="AF37" s="86">
        <f t="shared" si="24"/>
        <v>719.47816104000003</v>
      </c>
      <c r="AG37" s="86">
        <f>+AG33+AG34+AG35</f>
        <v>695.91695880871828</v>
      </c>
      <c r="AH37" s="86">
        <f t="shared" ref="AH37" si="25">+AH33+AH34+AH35</f>
        <v>691.6895644219685</v>
      </c>
      <c r="AI37" s="86">
        <f>+AI33+AI34+AI35</f>
        <v>712.93170427000007</v>
      </c>
      <c r="AJ37" s="86">
        <f>SUM(AJ33:AJ35)</f>
        <v>684.46266187999993</v>
      </c>
      <c r="AK37" s="86">
        <f>SUM(AK33:AK35)</f>
        <v>669.41204916000004</v>
      </c>
      <c r="AL37" s="86">
        <f>SUM(AL33:AL35)</f>
        <v>671.24217745999999</v>
      </c>
      <c r="AM37" s="86">
        <f>SUM(AM33:AM35)</f>
        <v>665.88336163000008</v>
      </c>
      <c r="AN37" s="86">
        <f>SUM(AN33:AN35)</f>
        <v>777.58595465416647</v>
      </c>
      <c r="AO37" s="86">
        <f t="shared" ref="AO37:AP37" si="26">SUM(AO33:AO35)</f>
        <v>648.97606478</v>
      </c>
      <c r="AP37" s="86">
        <f t="shared" si="26"/>
        <v>661.84546505999992</v>
      </c>
      <c r="AQ37" s="164">
        <f>SUM(AQ33:AQ35)</f>
        <v>659.47897610999996</v>
      </c>
      <c r="AR37" s="164">
        <f>SUM(AR33:AR35)</f>
        <v>648.54736825000009</v>
      </c>
    </row>
    <row r="38" spans="1:44">
      <c r="AP38" s="184"/>
      <c r="AQ38" s="184"/>
    </row>
    <row r="39" spans="1:44">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75"/>
    </row>
    <row r="40" spans="1:44">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75"/>
    </row>
  </sheetData>
  <mergeCells count="78">
    <mergeCell ref="AA25:AA26"/>
    <mergeCell ref="AB6:AB7"/>
    <mergeCell ref="AB25:AB26"/>
    <mergeCell ref="AN6:AN7"/>
    <mergeCell ref="AN25:AN26"/>
    <mergeCell ref="AD6:AD7"/>
    <mergeCell ref="AD25:AD26"/>
    <mergeCell ref="AC6:AC7"/>
    <mergeCell ref="AC25:AC26"/>
    <mergeCell ref="AE6:AE7"/>
    <mergeCell ref="AE25:AE26"/>
    <mergeCell ref="AF6:AF7"/>
    <mergeCell ref="AF25:AF26"/>
    <mergeCell ref="AK6:AK7"/>
    <mergeCell ref="AK25:AK26"/>
    <mergeCell ref="AJ6:AJ7"/>
    <mergeCell ref="X6:X7"/>
    <mergeCell ref="AA6:AA7"/>
    <mergeCell ref="I25:I26"/>
    <mergeCell ref="L6:L7"/>
    <mergeCell ref="J25:J26"/>
    <mergeCell ref="K25:K26"/>
    <mergeCell ref="Z6:Z7"/>
    <mergeCell ref="Z25:Z26"/>
    <mergeCell ref="L25:L26"/>
    <mergeCell ref="M6:M7"/>
    <mergeCell ref="W25:W26"/>
    <mergeCell ref="W6:W7"/>
    <mergeCell ref="X25:X26"/>
    <mergeCell ref="Y6:Y7"/>
    <mergeCell ref="Y25:Y26"/>
    <mergeCell ref="M25:M26"/>
    <mergeCell ref="J6:J7"/>
    <mergeCell ref="V6:V7"/>
    <mergeCell ref="V25:V26"/>
    <mergeCell ref="K6:K7"/>
    <mergeCell ref="Q25:Q26"/>
    <mergeCell ref="O6:O7"/>
    <mergeCell ref="S25:S26"/>
    <mergeCell ref="R6:R7"/>
    <mergeCell ref="R25:R26"/>
    <mergeCell ref="P6:P7"/>
    <mergeCell ref="Q6:Q7"/>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AG6:AG7"/>
    <mergeCell ref="AG25:AG26"/>
    <mergeCell ref="AH6:AH7"/>
    <mergeCell ref="AH25:AH26"/>
    <mergeCell ref="AJ25:AJ26"/>
    <mergeCell ref="AI6:AI7"/>
    <mergeCell ref="AI25:AI26"/>
    <mergeCell ref="AR6:AR7"/>
    <mergeCell ref="AR25:AR26"/>
    <mergeCell ref="AM6:AM7"/>
    <mergeCell ref="AM25:AM26"/>
    <mergeCell ref="AL6:AL7"/>
    <mergeCell ref="AL25:AL26"/>
    <mergeCell ref="AQ6:AQ7"/>
    <mergeCell ref="AQ25:AQ26"/>
    <mergeCell ref="AO6:AO7"/>
    <mergeCell ref="AP6:AP7"/>
    <mergeCell ref="AO25:AO26"/>
    <mergeCell ref="AP25:AP26"/>
  </mergeCells>
  <phoneticPr fontId="14" type="noConversion"/>
  <pageMargins left="0.7" right="0.7" top="0.75" bottom="0.75" header="0.3" footer="0.3"/>
  <pageSetup orientation="portrait" r:id="rId1"/>
  <ignoredErrors>
    <ignoredError sqref="E28:E31 E33:E37" evalError="1"/>
    <ignoredError sqref="AJ1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4:BC31"/>
  <sheetViews>
    <sheetView zoomScale="90" zoomScaleNormal="90" workbookViewId="0">
      <selection activeCell="I34" sqref="I34"/>
    </sheetView>
  </sheetViews>
  <sheetFormatPr defaultColWidth="11.453125" defaultRowHeight="13.5"/>
  <cols>
    <col min="1" max="1" width="22.1796875" style="1" bestFit="1" customWidth="1"/>
    <col min="2" max="3" width="8" style="1" bestFit="1" customWidth="1"/>
    <col min="4" max="4" width="7.08984375" style="1" bestFit="1" customWidth="1"/>
    <col min="5" max="5" width="11.453125" style="1"/>
    <col min="6" max="6" width="2" style="51" bestFit="1" customWidth="1"/>
    <col min="7" max="7" width="28.36328125" style="1" bestFit="1" customWidth="1"/>
    <col min="8" max="55" width="8" style="1" bestFit="1" customWidth="1"/>
    <col min="56" max="16384" width="11.453125" style="1"/>
  </cols>
  <sheetData>
    <row r="4" spans="1:55"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39"/>
      <c r="BC4" s="139"/>
    </row>
    <row r="5" spans="1:55">
      <c r="BB5" s="140"/>
    </row>
    <row r="6" spans="1:55" s="110" customFormat="1">
      <c r="A6" s="3" t="s">
        <v>219</v>
      </c>
      <c r="B6" s="208" t="s">
        <v>95</v>
      </c>
      <c r="C6" s="208" t="s">
        <v>263</v>
      </c>
      <c r="D6" s="208" t="s">
        <v>96</v>
      </c>
      <c r="F6" s="111">
        <v>1</v>
      </c>
      <c r="G6" s="3" t="s">
        <v>219</v>
      </c>
      <c r="H6" s="208" t="s">
        <v>97</v>
      </c>
      <c r="I6" s="208" t="s">
        <v>98</v>
      </c>
      <c r="J6" s="208" t="s">
        <v>99</v>
      </c>
      <c r="K6" s="208" t="s">
        <v>100</v>
      </c>
      <c r="L6" s="208" t="s">
        <v>101</v>
      </c>
      <c r="M6" s="208" t="s">
        <v>102</v>
      </c>
      <c r="N6" s="208" t="s">
        <v>103</v>
      </c>
      <c r="O6" s="208" t="s">
        <v>104</v>
      </c>
      <c r="P6" s="208" t="s">
        <v>105</v>
      </c>
      <c r="Q6" s="208" t="s">
        <v>106</v>
      </c>
      <c r="R6" s="208" t="s">
        <v>107</v>
      </c>
      <c r="S6" s="208" t="s">
        <v>108</v>
      </c>
      <c r="T6" s="208" t="s">
        <v>109</v>
      </c>
      <c r="U6" s="208" t="s">
        <v>110</v>
      </c>
      <c r="V6" s="208" t="s">
        <v>111</v>
      </c>
      <c r="W6" s="208" t="s">
        <v>112</v>
      </c>
      <c r="X6" s="208" t="s">
        <v>113</v>
      </c>
      <c r="Y6" s="208" t="s">
        <v>114</v>
      </c>
      <c r="Z6" s="208" t="s">
        <v>115</v>
      </c>
      <c r="AA6" s="208" t="s">
        <v>116</v>
      </c>
      <c r="AB6" s="208" t="s">
        <v>117</v>
      </c>
      <c r="AC6" s="208" t="s">
        <v>118</v>
      </c>
      <c r="AD6" s="208" t="s">
        <v>119</v>
      </c>
      <c r="AE6" s="208" t="s">
        <v>120</v>
      </c>
      <c r="AF6" s="208" t="s">
        <v>121</v>
      </c>
      <c r="AG6" s="208" t="s">
        <v>122</v>
      </c>
      <c r="AH6" s="208" t="s">
        <v>123</v>
      </c>
      <c r="AI6" s="208" t="s">
        <v>124</v>
      </c>
      <c r="AJ6" s="208" t="s">
        <v>125</v>
      </c>
      <c r="AK6" s="208" t="s">
        <v>126</v>
      </c>
      <c r="AL6" s="208" t="s">
        <v>127</v>
      </c>
      <c r="AM6" s="208" t="s">
        <v>128</v>
      </c>
      <c r="AN6" s="208" t="s">
        <v>129</v>
      </c>
      <c r="AO6" s="208" t="s">
        <v>130</v>
      </c>
      <c r="AP6" s="208" t="s">
        <v>131</v>
      </c>
      <c r="AQ6" s="208" t="s">
        <v>132</v>
      </c>
      <c r="AR6" s="208" t="s">
        <v>133</v>
      </c>
      <c r="AS6" s="208" t="s">
        <v>134</v>
      </c>
      <c r="AT6" s="208" t="s">
        <v>135</v>
      </c>
      <c r="AU6" s="208" t="s">
        <v>94</v>
      </c>
      <c r="AV6" s="208" t="s">
        <v>136</v>
      </c>
      <c r="AW6" s="208" t="s">
        <v>137</v>
      </c>
      <c r="AX6" s="208" t="s">
        <v>138</v>
      </c>
      <c r="AY6" s="208" t="s">
        <v>95</v>
      </c>
      <c r="AZ6" s="208" t="s">
        <v>231</v>
      </c>
      <c r="BA6" s="208" t="s">
        <v>232</v>
      </c>
      <c r="BB6" s="211" t="s">
        <v>252</v>
      </c>
      <c r="BC6" s="208" t="s">
        <v>263</v>
      </c>
    </row>
    <row r="7" spans="1:55" s="110" customFormat="1">
      <c r="A7" s="3" t="s">
        <v>161</v>
      </c>
      <c r="B7" s="208"/>
      <c r="C7" s="208"/>
      <c r="D7" s="208"/>
      <c r="F7" s="111">
        <f>F6+1</f>
        <v>2</v>
      </c>
      <c r="G7" s="3" t="s">
        <v>161</v>
      </c>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11"/>
      <c r="BC7" s="211"/>
    </row>
    <row r="8" spans="1:55">
      <c r="F8" s="51">
        <f t="shared" ref="F8:F13" si="0">F7+1</f>
        <v>3</v>
      </c>
      <c r="AZ8" s="115"/>
      <c r="BA8" s="115"/>
      <c r="BB8" s="177"/>
      <c r="BC8" s="177"/>
    </row>
    <row r="9" spans="1:55">
      <c r="A9" s="5" t="s">
        <v>220</v>
      </c>
      <c r="B9" s="8">
        <f>HLOOKUP($B$6,$G$6:$BC$13,$F9,FALSE)</f>
        <v>1976.3468310199999</v>
      </c>
      <c r="C9" s="8">
        <f>HLOOKUP($C$6,$G$6:$BC$13,$F9,FALSE)</f>
        <v>2249.7467073299999</v>
      </c>
      <c r="D9" s="39">
        <f>C9/B9-1</f>
        <v>0.13833598031419281</v>
      </c>
      <c r="F9" s="51">
        <f t="shared" si="0"/>
        <v>4</v>
      </c>
      <c r="G9" s="5" t="s">
        <v>221</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v>1717.8100000000002</v>
      </c>
      <c r="AO9" s="8">
        <v>1726.8473695093601</v>
      </c>
      <c r="AP9" s="8">
        <v>1717.45</v>
      </c>
      <c r="AQ9" s="8">
        <v>1742.59</v>
      </c>
      <c r="AR9" s="8">
        <f>2118.72699638299-AR23</f>
        <v>1742.03594457299</v>
      </c>
      <c r="AS9" s="8">
        <f>1725.24+22.19</f>
        <v>1747.43</v>
      </c>
      <c r="AT9" s="8">
        <v>1749.79</v>
      </c>
      <c r="AU9" s="8">
        <v>1763.6100000000001</v>
      </c>
      <c r="AV9" s="8">
        <v>1759.25</v>
      </c>
      <c r="AW9" s="8">
        <f>25.55+1740.41</f>
        <v>1765.96</v>
      </c>
      <c r="AX9" s="8">
        <v>1766.8812</v>
      </c>
      <c r="AY9" s="8">
        <v>1976.3468310199999</v>
      </c>
      <c r="AZ9" s="8">
        <v>1975.5858770499999</v>
      </c>
      <c r="BA9" s="8">
        <v>1982.8269839500001</v>
      </c>
      <c r="BB9" s="171">
        <v>2256.8143336899998</v>
      </c>
      <c r="BC9" s="171">
        <v>2249.7467073299999</v>
      </c>
    </row>
    <row r="10" spans="1:55">
      <c r="A10" s="5" t="s">
        <v>222</v>
      </c>
      <c r="B10" s="8">
        <f>HLOOKUP($B$6,$G$6:$BC$13,$F10,FALSE)</f>
        <v>724.98401152000008</v>
      </c>
      <c r="C10" s="8">
        <f>HLOOKUP($C$6,$G$6:$BC$13,$F10,FALSE)</f>
        <v>826.32187001999989</v>
      </c>
      <c r="D10" s="39">
        <f t="shared" ref="D10:D13" si="1">C10/B10-1</f>
        <v>0.13977943911829871</v>
      </c>
      <c r="F10" s="51">
        <f t="shared" si="0"/>
        <v>5</v>
      </c>
      <c r="G10" s="5" t="s">
        <v>222</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8">
        <v>855.75705000000005</v>
      </c>
      <c r="AX10" s="8">
        <v>898.74625000000003</v>
      </c>
      <c r="AY10" s="8">
        <v>724.98401152000008</v>
      </c>
      <c r="AZ10" s="8">
        <v>723.99053606661209</v>
      </c>
      <c r="BA10" s="8">
        <v>720.11926757000003</v>
      </c>
      <c r="BB10" s="171">
        <v>883.19391829999995</v>
      </c>
      <c r="BC10" s="171">
        <v>826.32187001999989</v>
      </c>
    </row>
    <row r="11" spans="1:55">
      <c r="A11" s="5" t="s">
        <v>223</v>
      </c>
      <c r="B11" s="8">
        <f>HLOOKUP($B$6,$G$6:$BC$13,$F11,FALSE)</f>
        <v>1251.3628194999997</v>
      </c>
      <c r="C11" s="8">
        <f>HLOOKUP($C$6,$G$6:$BC$13,$F11,FALSE)</f>
        <v>1423.4248373100004</v>
      </c>
      <c r="D11" s="39">
        <f t="shared" si="1"/>
        <v>0.13749970442525261</v>
      </c>
      <c r="F11" s="51">
        <f t="shared" si="0"/>
        <v>6</v>
      </c>
      <c r="G11" s="5" t="s">
        <v>223</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 t="shared" ref="AS11:AX11" si="12">+AS9-AS10</f>
        <v>827.6465300000001</v>
      </c>
      <c r="AT11" s="8">
        <f t="shared" si="12"/>
        <v>619.22191999999995</v>
      </c>
      <c r="AU11" s="8">
        <f t="shared" si="12"/>
        <v>778.38978000000009</v>
      </c>
      <c r="AV11" s="8">
        <f t="shared" si="12"/>
        <v>808.00355000000002</v>
      </c>
      <c r="AW11" s="8">
        <f t="shared" si="12"/>
        <v>910.20294999999999</v>
      </c>
      <c r="AX11" s="8">
        <f t="shared" si="12"/>
        <v>868.13495</v>
      </c>
      <c r="AY11" s="8">
        <f>+AY9-AY10</f>
        <v>1251.3628194999997</v>
      </c>
      <c r="AZ11" s="8">
        <f t="shared" ref="AZ11:BA11" si="13">+AZ9-AZ10</f>
        <v>1251.5953409833878</v>
      </c>
      <c r="BA11" s="8">
        <f t="shared" si="13"/>
        <v>1262.70771638</v>
      </c>
      <c r="BB11" s="171">
        <f>+BB9-BB10</f>
        <v>1373.6204153899998</v>
      </c>
      <c r="BC11" s="171">
        <v>1423.4248373100004</v>
      </c>
    </row>
    <row r="12" spans="1:55">
      <c r="A12" s="5" t="s">
        <v>224</v>
      </c>
      <c r="B12" s="8">
        <f>HLOOKUP($B$6,$G$6:$BC$13,$F12,FALSE)</f>
        <v>557.64780080336345</v>
      </c>
      <c r="C12" s="8">
        <f>HLOOKUP($C$6,$G$6:$BC$13,$F12,FALSE)</f>
        <v>522.64500818777901</v>
      </c>
      <c r="D12" s="39">
        <f t="shared" si="1"/>
        <v>-6.276863741802341E-2</v>
      </c>
      <c r="F12" s="51">
        <f t="shared" si="0"/>
        <v>7</v>
      </c>
      <c r="G12" s="5" t="s">
        <v>224</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707.62625880865005</v>
      </c>
      <c r="AT12" s="8">
        <f>+SUM('Operating Income'!AR33:AU33)</f>
        <v>704.4476222483861</v>
      </c>
      <c r="AU12" s="8">
        <f>SUM('Operating Income'!AS33:AV33)</f>
        <v>615.41707909742831</v>
      </c>
      <c r="AV12" s="8">
        <f>SUM('Operating Income'!AT33:AW33)</f>
        <v>578.00582401228803</v>
      </c>
      <c r="AW12" s="8">
        <f>SUM('Operating Income'!AU33:AX33)</f>
        <v>575.12942049206708</v>
      </c>
      <c r="AX12" s="8">
        <f>SUM('Operating Income'!AV33:AY33)</f>
        <v>544.8855295979306</v>
      </c>
      <c r="AY12" s="8">
        <f>SUM('Operating Income'!AW33:AZ33)</f>
        <v>557.64780080336345</v>
      </c>
      <c r="AZ12" s="8">
        <v>584.38557088719949</v>
      </c>
      <c r="BA12" s="8">
        <v>572.82038306477602</v>
      </c>
      <c r="BB12" s="171">
        <v>528.41948428546925</v>
      </c>
      <c r="BC12" s="171">
        <v>522.64500818777901</v>
      </c>
    </row>
    <row r="13" spans="1:55">
      <c r="A13" s="5" t="s">
        <v>225</v>
      </c>
      <c r="B13" s="8">
        <f>HLOOKUP($B$6,$G$6:$BC$13,$F13,FALSE)</f>
        <v>2.2440020702982246</v>
      </c>
      <c r="C13" s="8">
        <f>HLOOKUP($C$6,$G$6:$BC$13,$F13,FALSE)</f>
        <v>2.7235022147166168</v>
      </c>
      <c r="D13" s="39">
        <f t="shared" si="1"/>
        <v>0.21368079413343288</v>
      </c>
      <c r="F13" s="51">
        <f t="shared" si="0"/>
        <v>8</v>
      </c>
      <c r="G13" s="5" t="s">
        <v>225</v>
      </c>
      <c r="H13" s="8">
        <f>H11/H12</f>
        <v>3.6898167410503038</v>
      </c>
      <c r="I13" s="8">
        <f t="shared" ref="I13:V13" si="14">I11/I12</f>
        <v>3.2565832407467523</v>
      </c>
      <c r="J13" s="8">
        <f t="shared" si="14"/>
        <v>2.408880317964373</v>
      </c>
      <c r="K13" s="8">
        <f t="shared" si="14"/>
        <v>1.9776683023619388</v>
      </c>
      <c r="L13" s="8">
        <f t="shared" si="14"/>
        <v>2.1022924519011714</v>
      </c>
      <c r="M13" s="8">
        <f t="shared" si="14"/>
        <v>1.9094544405840284</v>
      </c>
      <c r="N13" s="8">
        <f t="shared" si="14"/>
        <v>1.3709665419432826</v>
      </c>
      <c r="O13" s="8">
        <f t="shared" si="14"/>
        <v>1.37415201854084</v>
      </c>
      <c r="P13" s="8">
        <f t="shared" si="14"/>
        <v>1.2815183232371361</v>
      </c>
      <c r="Q13" s="8">
        <f t="shared" si="14"/>
        <v>1.2413424677190084</v>
      </c>
      <c r="R13" s="8">
        <f t="shared" si="14"/>
        <v>1.3665714750819644</v>
      </c>
      <c r="S13" s="8">
        <f t="shared" si="14"/>
        <v>1.2867275925467716</v>
      </c>
      <c r="T13" s="8">
        <f t="shared" si="14"/>
        <v>1.339567831874819</v>
      </c>
      <c r="U13" s="8">
        <f t="shared" si="14"/>
        <v>1.2908727900346406</v>
      </c>
      <c r="V13" s="8">
        <f t="shared" si="14"/>
        <v>1.0287269082666317</v>
      </c>
      <c r="W13" s="8">
        <f t="shared" ref="W13:X13" si="15">W11/W12</f>
        <v>0.85832905438678342</v>
      </c>
      <c r="X13" s="8">
        <f t="shared" si="15"/>
        <v>0.73663442673623203</v>
      </c>
      <c r="Y13" s="8">
        <f t="shared" ref="Y13:Z13" si="16">Y11/Y12</f>
        <v>0.99175179011215142</v>
      </c>
      <c r="Z13" s="8">
        <f t="shared" si="16"/>
        <v>0.87037669777789206</v>
      </c>
      <c r="AA13" s="8">
        <f t="shared" ref="AA13:AF13" si="17">+AA11/AA12</f>
        <v>0.75611237109106155</v>
      </c>
      <c r="AB13" s="8">
        <f t="shared" si="17"/>
        <v>0.72998458459317084</v>
      </c>
      <c r="AC13" s="8">
        <f t="shared" si="17"/>
        <v>0.92258301591165914</v>
      </c>
      <c r="AD13" s="8">
        <f t="shared" si="17"/>
        <v>0.71162887693849586</v>
      </c>
      <c r="AE13" s="8">
        <f t="shared" si="17"/>
        <v>0.70672168116106082</v>
      </c>
      <c r="AF13" s="8">
        <f t="shared" si="17"/>
        <v>0.62476289382644468</v>
      </c>
      <c r="AG13" s="8">
        <v>0.62856171092891566</v>
      </c>
      <c r="AH13" s="8">
        <f t="shared" ref="AH13" si="18">+AH11/AH12</f>
        <v>0.6469479328732487</v>
      </c>
      <c r="AI13" s="8">
        <f>+AI11/AI12</f>
        <v>0.64487432559271185</v>
      </c>
      <c r="AJ13" s="8">
        <f>+AJ11/AJ12</f>
        <v>0.56702434896929876</v>
      </c>
      <c r="AK13" s="8">
        <f>+AK11/AK12</f>
        <v>0.97943183929126132</v>
      </c>
      <c r="AL13" s="8" t="s">
        <v>144</v>
      </c>
      <c r="AM13" s="8">
        <f>+AM11/AM12</f>
        <v>1.0862111031788311</v>
      </c>
      <c r="AN13" s="8">
        <f>+AN11/AN12</f>
        <v>1.2512426200987554</v>
      </c>
      <c r="AO13" s="8">
        <f>+AO11/AO12</f>
        <v>1.7257443315691554</v>
      </c>
      <c r="AP13" s="8">
        <f>+AP11/AP12</f>
        <v>0.98030291852926432</v>
      </c>
      <c r="AQ13" s="8">
        <f>+AQ11/AQ12</f>
        <v>0.96954958056501339</v>
      </c>
      <c r="AR13" s="8">
        <v>1.3048788675839702</v>
      </c>
      <c r="AS13" s="8">
        <f t="shared" ref="AS13:AY13" si="19">+AS11/AS12</f>
        <v>1.1696096911290637</v>
      </c>
      <c r="AT13" s="8">
        <f t="shared" si="19"/>
        <v>0.8790176876793605</v>
      </c>
      <c r="AU13" s="8">
        <f t="shared" si="19"/>
        <v>1.2648166689517095</v>
      </c>
      <c r="AV13" s="8">
        <f t="shared" si="19"/>
        <v>1.3979159316962564</v>
      </c>
      <c r="AW13" s="8">
        <f t="shared" si="19"/>
        <v>1.5826054407393242</v>
      </c>
      <c r="AX13" s="8">
        <f t="shared" si="19"/>
        <v>1.5932428057698544</v>
      </c>
      <c r="AY13" s="8">
        <f t="shared" si="19"/>
        <v>2.2440020702982246</v>
      </c>
      <c r="AZ13" s="8">
        <f t="shared" ref="AZ13:BA13" si="20">+AZ11/AZ12</f>
        <v>2.1417286862220899</v>
      </c>
      <c r="BA13" s="8">
        <f t="shared" si="20"/>
        <v>2.2043693864804559</v>
      </c>
      <c r="BB13" s="171">
        <f>+BB11/BB12</f>
        <v>2.5994885810227348</v>
      </c>
      <c r="BC13" s="171">
        <f>+BC11/BC12</f>
        <v>2.7235022147166168</v>
      </c>
    </row>
    <row r="14" spans="1:55">
      <c r="B14" s="46"/>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172"/>
      <c r="AW14" s="172"/>
      <c r="AX14" s="172"/>
      <c r="AY14" s="172"/>
      <c r="AZ14" s="172"/>
      <c r="BA14" s="172"/>
      <c r="BB14" s="172"/>
    </row>
    <row r="15" spans="1:55">
      <c r="B15" s="46"/>
      <c r="C15" s="46"/>
      <c r="AV15" s="116"/>
      <c r="AW15" s="116"/>
      <c r="AX15" s="116"/>
      <c r="AY15" s="116"/>
      <c r="AZ15" s="116"/>
      <c r="BA15" s="116"/>
      <c r="BB15" s="116"/>
    </row>
    <row r="16" spans="1:55">
      <c r="D16" s="46"/>
    </row>
    <row r="17" spans="1:55">
      <c r="BB17" s="140"/>
    </row>
    <row r="18" spans="1:55" ht="23.5">
      <c r="A18" s="11" t="s">
        <v>28</v>
      </c>
      <c r="B18" s="12"/>
      <c r="C18" s="12"/>
      <c r="D18" s="12"/>
      <c r="G18" s="11" t="s">
        <v>28</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39"/>
      <c r="BC18" s="139"/>
    </row>
    <row r="19" spans="1:55">
      <c r="BB19" s="140"/>
    </row>
    <row r="20" spans="1:55" s="110" customFormat="1">
      <c r="A20" s="3" t="s">
        <v>219</v>
      </c>
      <c r="B20" s="208" t="str">
        <f>B6</f>
        <v>4Q24</v>
      </c>
      <c r="C20" s="208" t="str">
        <f>C6</f>
        <v>4Q25</v>
      </c>
      <c r="D20" s="208" t="s">
        <v>96</v>
      </c>
      <c r="F20" s="111">
        <v>1</v>
      </c>
      <c r="G20" s="3" t="s">
        <v>219</v>
      </c>
      <c r="H20" s="208" t="s">
        <v>97</v>
      </c>
      <c r="I20" s="208" t="s">
        <v>98</v>
      </c>
      <c r="J20" s="208" t="s">
        <v>99</v>
      </c>
      <c r="K20" s="208" t="s">
        <v>100</v>
      </c>
      <c r="L20" s="208" t="s">
        <v>101</v>
      </c>
      <c r="M20" s="208" t="s">
        <v>102</v>
      </c>
      <c r="N20" s="208" t="s">
        <v>103</v>
      </c>
      <c r="O20" s="208" t="s">
        <v>104</v>
      </c>
      <c r="P20" s="208" t="s">
        <v>105</v>
      </c>
      <c r="Q20" s="208" t="s">
        <v>106</v>
      </c>
      <c r="R20" s="208" t="s">
        <v>107</v>
      </c>
      <c r="S20" s="208" t="s">
        <v>108</v>
      </c>
      <c r="T20" s="208" t="s">
        <v>109</v>
      </c>
      <c r="U20" s="208" t="s">
        <v>110</v>
      </c>
      <c r="V20" s="208" t="s">
        <v>111</v>
      </c>
      <c r="W20" s="208" t="s">
        <v>112</v>
      </c>
      <c r="X20" s="208" t="s">
        <v>113</v>
      </c>
      <c r="Y20" s="208" t="s">
        <v>114</v>
      </c>
      <c r="Z20" s="208" t="s">
        <v>115</v>
      </c>
      <c r="AA20" s="208" t="s">
        <v>116</v>
      </c>
      <c r="AB20" s="208" t="s">
        <v>117</v>
      </c>
      <c r="AC20" s="208" t="s">
        <v>118</v>
      </c>
      <c r="AD20" s="208" t="s">
        <v>119</v>
      </c>
      <c r="AE20" s="208" t="s">
        <v>120</v>
      </c>
      <c r="AF20" s="208" t="s">
        <v>121</v>
      </c>
      <c r="AG20" s="208" t="s">
        <v>122</v>
      </c>
      <c r="AH20" s="208" t="s">
        <v>123</v>
      </c>
      <c r="AI20" s="208" t="s">
        <v>124</v>
      </c>
      <c r="AJ20" s="208" t="s">
        <v>125</v>
      </c>
      <c r="AK20" s="208" t="s">
        <v>126</v>
      </c>
      <c r="AL20" s="208" t="s">
        <v>127</v>
      </c>
      <c r="AM20" s="208" t="s">
        <v>128</v>
      </c>
      <c r="AN20" s="208" t="s">
        <v>129</v>
      </c>
      <c r="AO20" s="208" t="s">
        <v>130</v>
      </c>
      <c r="AP20" s="208" t="s">
        <v>131</v>
      </c>
      <c r="AQ20" s="208" t="s">
        <v>132</v>
      </c>
      <c r="AR20" s="208" t="s">
        <v>133</v>
      </c>
      <c r="AS20" s="208" t="s">
        <v>134</v>
      </c>
      <c r="AT20" s="208" t="s">
        <v>135</v>
      </c>
      <c r="AU20" s="208" t="s">
        <v>94</v>
      </c>
      <c r="AV20" s="208" t="s">
        <v>136</v>
      </c>
      <c r="AW20" s="208" t="s">
        <v>137</v>
      </c>
      <c r="AX20" s="208" t="s">
        <v>138</v>
      </c>
      <c r="AY20" s="208" t="s">
        <v>95</v>
      </c>
      <c r="AZ20" s="208" t="s">
        <v>231</v>
      </c>
      <c r="BA20" s="208" t="s">
        <v>232</v>
      </c>
      <c r="BB20" s="211" t="s">
        <v>252</v>
      </c>
      <c r="BC20" s="208" t="s">
        <v>263</v>
      </c>
    </row>
    <row r="21" spans="1:55" s="110" customFormat="1">
      <c r="A21" s="3" t="s">
        <v>161</v>
      </c>
      <c r="B21" s="208"/>
      <c r="C21" s="208"/>
      <c r="D21" s="208"/>
      <c r="F21" s="111">
        <f>F20+1</f>
        <v>2</v>
      </c>
      <c r="G21" s="3" t="s">
        <v>161</v>
      </c>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11"/>
      <c r="BC21" s="211"/>
    </row>
    <row r="22" spans="1:55">
      <c r="F22" s="51">
        <f t="shared" ref="F22:F27" si="21">F21+1</f>
        <v>3</v>
      </c>
      <c r="BB22" s="140"/>
      <c r="BC22" s="140"/>
    </row>
    <row r="23" spans="1:55">
      <c r="A23" s="5" t="s">
        <v>220</v>
      </c>
      <c r="B23" s="8">
        <f>HLOOKUP($B$20,$G$20:$BC$27,$F23,FALSE)</f>
        <v>321.78689484</v>
      </c>
      <c r="C23" s="8">
        <f>HLOOKUP($C$20,$G$20:$BC$27,$F23,FALSE)</f>
        <v>308.44829267000006</v>
      </c>
      <c r="D23" s="39">
        <f>C23/B23-1</f>
        <v>-4.145166376844589E-2</v>
      </c>
      <c r="F23" s="51">
        <f t="shared" si="21"/>
        <v>4</v>
      </c>
      <c r="G23" s="5" t="s">
        <v>221</v>
      </c>
      <c r="H23" s="29"/>
      <c r="I23" s="29"/>
      <c r="J23" s="29"/>
      <c r="K23" s="29"/>
      <c r="L23" s="29"/>
      <c r="M23" s="29"/>
      <c r="N23" s="29"/>
      <c r="O23" s="29"/>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v>459.55068038999997</v>
      </c>
      <c r="AJ23" s="8">
        <v>443.4</v>
      </c>
      <c r="AK23" s="8">
        <v>444.9</v>
      </c>
      <c r="AL23" s="8">
        <v>428.2660204</v>
      </c>
      <c r="AM23" s="8">
        <v>429.57719356000001</v>
      </c>
      <c r="AN23" s="8">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8">
        <f>57.23+285.83</f>
        <v>343.06</v>
      </c>
      <c r="AX23" s="8">
        <v>326.53203902000001</v>
      </c>
      <c r="AY23" s="8">
        <v>321.78689484</v>
      </c>
      <c r="AZ23" s="8">
        <v>308.96855631999995</v>
      </c>
      <c r="BA23" s="8">
        <v>308.98601166999998</v>
      </c>
      <c r="BB23" s="171">
        <v>296.81306984000003</v>
      </c>
      <c r="BC23" s="171">
        <v>308.44829267000006</v>
      </c>
    </row>
    <row r="24" spans="1:55">
      <c r="A24" s="5" t="s">
        <v>222</v>
      </c>
      <c r="B24" s="8">
        <f>HLOOKUP($B$20,$G$20:$BC$27,$F24,FALSE)</f>
        <v>50.14626041999999</v>
      </c>
      <c r="C24" s="8">
        <f>HLOOKUP($C$20,$G$20:$BC$27,$F24,FALSE)</f>
        <v>56.939124379999996</v>
      </c>
      <c r="D24" s="39">
        <f t="shared" ref="D24:D27" si="22">C24/B24-1</f>
        <v>0.13546102746458799</v>
      </c>
      <c r="F24" s="51">
        <f t="shared" si="21"/>
        <v>5</v>
      </c>
      <c r="G24" s="5" t="s">
        <v>222</v>
      </c>
      <c r="H24" s="29"/>
      <c r="I24" s="29"/>
      <c r="J24" s="29"/>
      <c r="K24" s="29"/>
      <c r="L24" s="29"/>
      <c r="M24" s="29"/>
      <c r="N24" s="29"/>
      <c r="O24" s="29"/>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v>28.840882880000002</v>
      </c>
      <c r="AJ24" s="8">
        <v>21.843691669999998</v>
      </c>
      <c r="AK24" s="8">
        <v>33.105058530000001</v>
      </c>
      <c r="AL24" s="8">
        <v>21.281165947678915</v>
      </c>
      <c r="AM24" s="8">
        <v>27.868612689999999</v>
      </c>
      <c r="AN24" s="8">
        <v>21.9</v>
      </c>
      <c r="AO24" s="8">
        <v>39.155071289971971</v>
      </c>
      <c r="AP24" s="8">
        <v>25.200533866652698</v>
      </c>
      <c r="AQ24" s="8">
        <v>49.780322774867329</v>
      </c>
      <c r="AR24" s="8">
        <v>39.256204357503321</v>
      </c>
      <c r="AS24" s="8">
        <v>29.94541975204514</v>
      </c>
      <c r="AT24" s="8">
        <v>40.156621789999996</v>
      </c>
      <c r="AU24" s="8">
        <v>45.912658889999996</v>
      </c>
      <c r="AV24" s="8">
        <v>38.901968370000006</v>
      </c>
      <c r="AW24" s="8">
        <v>50.470176230000007</v>
      </c>
      <c r="AX24" s="8">
        <v>48.333385290000002</v>
      </c>
      <c r="AY24" s="8">
        <v>50.14626041999999</v>
      </c>
      <c r="AZ24" s="8">
        <v>44.422287519999998</v>
      </c>
      <c r="BA24" s="8">
        <v>67.501475549999995</v>
      </c>
      <c r="BB24" s="171">
        <v>65.473106830000006</v>
      </c>
      <c r="BC24" s="171">
        <v>56.939124379999996</v>
      </c>
    </row>
    <row r="25" spans="1:55">
      <c r="A25" s="5" t="s">
        <v>223</v>
      </c>
      <c r="B25" s="8">
        <f>HLOOKUP($B$20,$G$20:$BC$27,$F25,FALSE)</f>
        <v>271.64063442000003</v>
      </c>
      <c r="C25" s="8">
        <f>HLOOKUP($C$20,$G$20:$BC$27,$F25,FALSE)</f>
        <v>251.50916829000005</v>
      </c>
      <c r="D25" s="39">
        <f t="shared" si="22"/>
        <v>-7.4110657902799248E-2</v>
      </c>
      <c r="F25" s="51">
        <f t="shared" si="21"/>
        <v>6</v>
      </c>
      <c r="G25" s="5" t="s">
        <v>223</v>
      </c>
      <c r="H25" s="29"/>
      <c r="I25" s="29"/>
      <c r="J25" s="29"/>
      <c r="K25" s="29"/>
      <c r="L25" s="29"/>
      <c r="M25" s="29"/>
      <c r="N25" s="29"/>
      <c r="O25" s="29"/>
      <c r="P25" s="8">
        <f>P23-P24</f>
        <v>357.60892777999999</v>
      </c>
      <c r="Q25" s="8">
        <f t="shared" ref="Q25:V25" si="23">Q23-Q24</f>
        <v>356.25294137999998</v>
      </c>
      <c r="R25" s="8">
        <f t="shared" si="23"/>
        <v>335.77891646</v>
      </c>
      <c r="S25" s="8">
        <f t="shared" si="23"/>
        <v>340.85219169999999</v>
      </c>
      <c r="T25" s="8">
        <f t="shared" si="23"/>
        <v>321.79686831000004</v>
      </c>
      <c r="U25" s="8">
        <f>U23-U24</f>
        <v>323.54273853000001</v>
      </c>
      <c r="V25" s="8">
        <f t="shared" si="23"/>
        <v>307.34432609999999</v>
      </c>
      <c r="W25" s="8">
        <f t="shared" ref="W25:X25" si="24">W23-W24</f>
        <v>301.15624766999997</v>
      </c>
      <c r="X25" s="8">
        <f t="shared" si="24"/>
        <v>309.76924835</v>
      </c>
      <c r="Y25" s="8">
        <f t="shared" ref="Y25:Z25" si="25">Y23-Y24</f>
        <v>301.63502271999999</v>
      </c>
      <c r="Z25" s="8">
        <f t="shared" si="25"/>
        <v>298.98818391000003</v>
      </c>
      <c r="AA25" s="8">
        <v>325.38267724999997</v>
      </c>
      <c r="AB25" s="8">
        <f t="shared" ref="AB25:AG25" si="26">+AB23-AB24</f>
        <v>326.88414798999992</v>
      </c>
      <c r="AC25" s="8">
        <f t="shared" si="26"/>
        <v>451.34711448999997</v>
      </c>
      <c r="AD25" s="8">
        <f t="shared" si="26"/>
        <v>443.80922921000001</v>
      </c>
      <c r="AE25" s="8">
        <f t="shared" si="26"/>
        <v>435.49487671999998</v>
      </c>
      <c r="AF25" s="8">
        <f t="shared" si="26"/>
        <v>438.50044033000006</v>
      </c>
      <c r="AG25" s="8">
        <f t="shared" si="26"/>
        <v>431.32762690999999</v>
      </c>
      <c r="AH25" s="8">
        <v>431.15739717999998</v>
      </c>
      <c r="AI25" s="8">
        <f t="shared" ref="AI25:AX25" si="27">+AI23-AI24</f>
        <v>430.70979750999999</v>
      </c>
      <c r="AJ25" s="8">
        <f t="shared" si="27"/>
        <v>421.55630832999998</v>
      </c>
      <c r="AK25" s="8">
        <f t="shared" si="27"/>
        <v>411.79494146999997</v>
      </c>
      <c r="AL25" s="8">
        <f t="shared" si="27"/>
        <v>406.98485445232109</v>
      </c>
      <c r="AM25" s="8">
        <f t="shared" si="27"/>
        <v>401.70858086999999</v>
      </c>
      <c r="AN25" s="8">
        <f t="shared" si="27"/>
        <v>389.46103897</v>
      </c>
      <c r="AO25" s="8">
        <f t="shared" si="27"/>
        <v>373.3009837800281</v>
      </c>
      <c r="AP25" s="8">
        <f t="shared" si="27"/>
        <v>369.24407493334735</v>
      </c>
      <c r="AQ25" s="8">
        <f t="shared" si="27"/>
        <v>345.55173416513264</v>
      </c>
      <c r="AR25" s="8">
        <f t="shared" si="27"/>
        <v>337.43484745249668</v>
      </c>
      <c r="AS25" s="8">
        <f t="shared" si="27"/>
        <v>347.44948270795487</v>
      </c>
      <c r="AT25" s="8">
        <f t="shared" si="27"/>
        <v>319.06691590000008</v>
      </c>
      <c r="AU25" s="8">
        <f t="shared" si="27"/>
        <v>313.74954542</v>
      </c>
      <c r="AV25" s="8">
        <f t="shared" si="27"/>
        <v>303.63939238999995</v>
      </c>
      <c r="AW25" s="8">
        <f t="shared" si="27"/>
        <v>292.58982377000001</v>
      </c>
      <c r="AX25" s="8">
        <f t="shared" si="27"/>
        <v>278.19865372999999</v>
      </c>
      <c r="AY25" s="8">
        <f>+AY23-AY24</f>
        <v>271.64063442000003</v>
      </c>
      <c r="AZ25" s="8">
        <f t="shared" ref="AZ25:BA25" si="28">+AZ23-AZ24</f>
        <v>264.54626879999995</v>
      </c>
      <c r="BA25" s="8">
        <f t="shared" si="28"/>
        <v>241.48453611999997</v>
      </c>
      <c r="BB25" s="171">
        <f>+BB23-BB24</f>
        <v>231.33996301000002</v>
      </c>
      <c r="BC25" s="171">
        <f>+BC23-BC24</f>
        <v>251.50916829000005</v>
      </c>
    </row>
    <row r="26" spans="1:55">
      <c r="A26" s="5" t="s">
        <v>224</v>
      </c>
      <c r="B26" s="8">
        <f>HLOOKUP($B$20,$G$20:$BC$27,$F26,FALSE)</f>
        <v>84.150132670000005</v>
      </c>
      <c r="C26" s="8">
        <f>HLOOKUP($C$20,$G$20:$BC$27,$F26,FALSE)</f>
        <v>86.435860999999974</v>
      </c>
      <c r="D26" s="39">
        <f t="shared" si="22"/>
        <v>2.716250417528876E-2</v>
      </c>
      <c r="F26" s="51">
        <f t="shared" si="21"/>
        <v>7</v>
      </c>
      <c r="G26" s="5" t="s">
        <v>224</v>
      </c>
      <c r="H26" s="29"/>
      <c r="I26" s="29"/>
      <c r="J26" s="29"/>
      <c r="K26" s="29"/>
      <c r="L26" s="29"/>
      <c r="M26" s="29"/>
      <c r="N26" s="29"/>
      <c r="O26" s="29"/>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c r="AW26" s="8">
        <f>SUM('Operating Income'!AU67:AX67)</f>
        <v>111.22690730999997</v>
      </c>
      <c r="AX26" s="8">
        <f>SUM('Operating Income'!AV67:AY67)</f>
        <v>84.902626990000016</v>
      </c>
      <c r="AY26" s="8">
        <f>SUM('Operating Income'!AW67:AZ67)</f>
        <v>84.150132670000005</v>
      </c>
      <c r="AZ26" s="8">
        <v>88.45168953000001</v>
      </c>
      <c r="BA26" s="8">
        <v>88.27903834</v>
      </c>
      <c r="BB26" s="171">
        <v>88.691170389999968</v>
      </c>
      <c r="BC26" s="171">
        <v>86.435860999999974</v>
      </c>
    </row>
    <row r="27" spans="1:55">
      <c r="A27" s="5" t="s">
        <v>225</v>
      </c>
      <c r="B27" s="8">
        <f>HLOOKUP($B$20,$G$20:$BC$27,$F27,FALSE)</f>
        <v>3.2280476073074742</v>
      </c>
      <c r="C27" s="8">
        <f>HLOOKUP($C$20,$G$20:$BC$27,$F27,FALSE)</f>
        <v>2.9097780178298924</v>
      </c>
      <c r="D27" s="39">
        <f t="shared" si="22"/>
        <v>-9.8595072996166766E-2</v>
      </c>
      <c r="F27" s="51">
        <f t="shared" si="21"/>
        <v>8</v>
      </c>
      <c r="G27" s="5" t="s">
        <v>225</v>
      </c>
      <c r="H27" s="29"/>
      <c r="I27" s="29"/>
      <c r="J27" s="29"/>
      <c r="K27" s="29"/>
      <c r="L27" s="29"/>
      <c r="M27" s="29"/>
      <c r="N27" s="29"/>
      <c r="O27" s="29"/>
      <c r="P27" s="8">
        <f t="shared" ref="P27" si="29">P25/P26</f>
        <v>6.812071025287338</v>
      </c>
      <c r="Q27" s="8">
        <f t="shared" ref="Q27" si="30">Q25/Q26</f>
        <v>8.2396924068402893</v>
      </c>
      <c r="R27" s="8">
        <f t="shared" ref="R27" si="31">R25/R26</f>
        <v>7.2422969490599751</v>
      </c>
      <c r="S27" s="8">
        <f t="shared" ref="S27:V27" si="32">S25/S26</f>
        <v>6.082419405089329</v>
      </c>
      <c r="T27" s="8">
        <f t="shared" si="32"/>
        <v>6.3433220503669787</v>
      </c>
      <c r="U27" s="8">
        <f t="shared" si="32"/>
        <v>6.1603357613367482</v>
      </c>
      <c r="V27" s="8">
        <f t="shared" si="32"/>
        <v>6.1594951218491349</v>
      </c>
      <c r="W27" s="8">
        <f t="shared" ref="W27:X27" si="33">W25/W26</f>
        <v>5.6200828843228612</v>
      </c>
      <c r="X27" s="8">
        <f t="shared" si="33"/>
        <v>5.9463480559922361</v>
      </c>
      <c r="Y27" s="8">
        <f t="shared" ref="Y27" si="34">Y25/Y26</f>
        <v>5.6376507857584421</v>
      </c>
      <c r="Z27" s="8">
        <f>Z25/Z26</f>
        <v>6.3088231922555744</v>
      </c>
      <c r="AA27" s="8">
        <f>AA25/AA26</f>
        <v>9.1042702507476125</v>
      </c>
      <c r="AB27" s="8">
        <f t="shared" ref="AB27:AH27" si="35">+AB25/AB26</f>
        <v>7.6230803438079393</v>
      </c>
      <c r="AC27" s="8">
        <f t="shared" si="35"/>
        <v>9.2052025542810334</v>
      </c>
      <c r="AD27" s="8">
        <f t="shared" si="35"/>
        <v>7.6966107928431313</v>
      </c>
      <c r="AE27" s="8">
        <f t="shared" si="35"/>
        <v>6.2275752552382411</v>
      </c>
      <c r="AF27" s="8">
        <f t="shared" si="35"/>
        <v>5.7049140509193448</v>
      </c>
      <c r="AG27" s="8">
        <f t="shared" si="35"/>
        <v>6.3347358334203783</v>
      </c>
      <c r="AH27" s="8">
        <f t="shared" si="35"/>
        <v>6.363345313362518</v>
      </c>
      <c r="AI27" s="8">
        <f t="shared" ref="AI27:AN27" si="36">+AI25/AI26</f>
        <v>6.6148510154624569</v>
      </c>
      <c r="AJ27" s="8">
        <f t="shared" si="36"/>
        <v>6.7571632894011024</v>
      </c>
      <c r="AK27" s="8">
        <f t="shared" si="36"/>
        <v>6.503550688542922</v>
      </c>
      <c r="AL27" s="8">
        <f t="shared" si="36"/>
        <v>6.0271863179473426</v>
      </c>
      <c r="AM27" s="8">
        <f t="shared" si="36"/>
        <v>5.777674150877985</v>
      </c>
      <c r="AN27" s="8">
        <f t="shared" si="36"/>
        <v>5.0255839493700174</v>
      </c>
      <c r="AO27" s="8">
        <f t="shared" ref="AO27:AX27" si="37">+AO25/AO26</f>
        <v>4.4026503838763382</v>
      </c>
      <c r="AP27" s="8">
        <f t="shared" si="37"/>
        <v>4.1179334155877196</v>
      </c>
      <c r="AQ27" s="8">
        <f t="shared" si="37"/>
        <v>3.2866050171653747</v>
      </c>
      <c r="AR27" s="8">
        <f t="shared" si="37"/>
        <v>3.2061585736950207</v>
      </c>
      <c r="AS27" s="8">
        <f t="shared" si="37"/>
        <v>4.1264784169590838</v>
      </c>
      <c r="AT27" s="8">
        <f t="shared" si="37"/>
        <v>2.9598044146567726</v>
      </c>
      <c r="AU27" s="8">
        <f t="shared" si="37"/>
        <v>3.1971870124550241</v>
      </c>
      <c r="AV27" s="8">
        <f t="shared" si="37"/>
        <v>3.3481647284790639</v>
      </c>
      <c r="AW27" s="8">
        <f t="shared" si="37"/>
        <v>2.6305669270703027</v>
      </c>
      <c r="AX27" s="8">
        <f t="shared" si="37"/>
        <v>3.2766789861845704</v>
      </c>
      <c r="AY27" s="8">
        <f>+AY25/AY26</f>
        <v>3.2280476073074742</v>
      </c>
      <c r="AZ27" s="8">
        <f t="shared" ref="AZ27:BA27" si="38">+AZ25/AZ26</f>
        <v>2.9908560278011902</v>
      </c>
      <c r="BA27" s="8">
        <f t="shared" si="38"/>
        <v>2.7354685853049356</v>
      </c>
      <c r="BB27" s="171">
        <f>+BB25/BB26</f>
        <v>2.608376482041372</v>
      </c>
      <c r="BC27" s="171">
        <f>+BC25/BC26</f>
        <v>2.9097780178298924</v>
      </c>
    </row>
    <row r="28" spans="1:55">
      <c r="BB28" s="140"/>
    </row>
    <row r="29" spans="1:55">
      <c r="G29" s="1" t="s">
        <v>226</v>
      </c>
      <c r="R29" s="28"/>
      <c r="S29" s="28"/>
      <c r="T29" s="28"/>
      <c r="U29" s="28"/>
      <c r="V29" s="28"/>
      <c r="W29" s="28"/>
      <c r="X29" s="46"/>
      <c r="Y29" s="46"/>
      <c r="Z29" s="46"/>
      <c r="AA29" s="46"/>
      <c r="AB29" s="46"/>
      <c r="AC29" s="46"/>
      <c r="AD29" s="46"/>
      <c r="AE29" s="46"/>
      <c r="AF29" s="46"/>
      <c r="AG29" s="46"/>
      <c r="AH29" s="46"/>
      <c r="AI29" s="46"/>
      <c r="AJ29" s="46"/>
      <c r="AK29" s="46"/>
      <c r="AL29" s="46"/>
      <c r="AM29" s="46"/>
      <c r="AN29" s="46"/>
      <c r="AT29" s="46"/>
      <c r="AU29" s="46"/>
      <c r="AV29" s="46"/>
      <c r="AW29" s="46"/>
      <c r="AX29" s="46"/>
      <c r="AY29" s="46"/>
      <c r="AZ29" s="46"/>
      <c r="BA29" s="178"/>
      <c r="BB29" s="178"/>
    </row>
    <row r="30" spans="1:55">
      <c r="B30" s="44"/>
      <c r="AU30" s="46"/>
      <c r="AV30" s="46"/>
      <c r="AW30" s="46"/>
      <c r="AX30" s="46"/>
      <c r="AY30" s="46"/>
      <c r="AZ30" s="46"/>
      <c r="BA30" s="46"/>
      <c r="BB30" s="178"/>
    </row>
    <row r="31" spans="1:55" ht="119.25" customHeight="1">
      <c r="A31" s="205" t="s">
        <v>227</v>
      </c>
      <c r="B31" s="205"/>
      <c r="C31" s="205"/>
      <c r="D31" s="205"/>
      <c r="BB31" s="140"/>
    </row>
  </sheetData>
  <mergeCells count="103">
    <mergeCell ref="BB6:BB7"/>
    <mergeCell ref="BB20:BB21"/>
    <mergeCell ref="AZ6:AZ7"/>
    <mergeCell ref="BA6:BA7"/>
    <mergeCell ref="AZ20:AZ21"/>
    <mergeCell ref="BA20:BA21"/>
    <mergeCell ref="AY6:AY7"/>
    <mergeCell ref="AY20:AY21"/>
    <mergeCell ref="AV6:AV7"/>
    <mergeCell ref="AV20:AV21"/>
    <mergeCell ref="AW6:AW7"/>
    <mergeCell ref="AW20:AW21"/>
    <mergeCell ref="AU6:AU7"/>
    <mergeCell ref="AU20:AU21"/>
    <mergeCell ref="AX6:AX7"/>
    <mergeCell ref="AX20:AX21"/>
    <mergeCell ref="AT6:AT7"/>
    <mergeCell ref="AT20:AT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P6:AP7"/>
    <mergeCell ref="AP20:AP21"/>
    <mergeCell ref="AO6:AO7"/>
    <mergeCell ref="AO20:AO21"/>
    <mergeCell ref="AN6:AN7"/>
    <mergeCell ref="AN20:AN21"/>
    <mergeCell ref="AE20:AE21"/>
    <mergeCell ref="AE6:AE7"/>
    <mergeCell ref="AH6:AH7"/>
    <mergeCell ref="AH20:AH21"/>
    <mergeCell ref="AG6:AG7"/>
    <mergeCell ref="AG20:AG21"/>
    <mergeCell ref="AF6:AF7"/>
    <mergeCell ref="AF20:AF21"/>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Q20:Q21"/>
    <mergeCell ref="O6:O7"/>
    <mergeCell ref="B20:B21"/>
    <mergeCell ref="C20:C21"/>
    <mergeCell ref="D20:D21"/>
    <mergeCell ref="D6:D7"/>
    <mergeCell ref="K6:K7"/>
    <mergeCell ref="I20:I21"/>
    <mergeCell ref="J20:J21"/>
    <mergeCell ref="K20:K21"/>
    <mergeCell ref="I6:I7"/>
    <mergeCell ref="J6:J7"/>
    <mergeCell ref="M20:M21"/>
    <mergeCell ref="N20:N21"/>
    <mergeCell ref="M6:M7"/>
    <mergeCell ref="N6:N7"/>
    <mergeCell ref="BC6:BC7"/>
    <mergeCell ref="BC20:BC21"/>
    <mergeCell ref="A31:D31"/>
    <mergeCell ref="P6:P7"/>
    <mergeCell ref="W6:W7"/>
    <mergeCell ref="W20:W21"/>
    <mergeCell ref="S6:S7"/>
    <mergeCell ref="T6:T7"/>
    <mergeCell ref="U6:U7"/>
    <mergeCell ref="V6:V7"/>
    <mergeCell ref="Q6:Q7"/>
    <mergeCell ref="R6:R7"/>
    <mergeCell ref="U20:U21"/>
    <mergeCell ref="V20:V21"/>
    <mergeCell ref="H6:H7"/>
    <mergeCell ref="H20:H21"/>
    <mergeCell ref="B6:B7"/>
    <mergeCell ref="C6:C7"/>
    <mergeCell ref="L6:L7"/>
    <mergeCell ref="L20:L21"/>
    <mergeCell ref="R20:R21"/>
    <mergeCell ref="S20:S21"/>
    <mergeCell ref="O20:O21"/>
    <mergeCell ref="P20:P21"/>
  </mergeCells>
  <phoneticPr fontId="14" type="noConversion"/>
  <pageMargins left="0.7" right="0.7" top="0.75" bottom="0.75" header="0.3" footer="0.3"/>
  <pageSetup orientation="portrait" r:id="rId1"/>
  <ignoredErrors>
    <ignoredError sqref="AK11 AR1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dimension ref="B4:F62"/>
  <sheetViews>
    <sheetView zoomScaleNormal="100" workbookViewId="0">
      <selection activeCell="H19" sqref="H19"/>
    </sheetView>
  </sheetViews>
  <sheetFormatPr defaultColWidth="11.453125" defaultRowHeight="13.5"/>
  <cols>
    <col min="1" max="1" width="3.1796875" style="1" customWidth="1"/>
    <col min="2" max="2" width="35.453125" style="1" customWidth="1"/>
    <col min="3" max="3" width="31" style="50" customWidth="1"/>
    <col min="4" max="4" width="24.54296875" style="50" customWidth="1"/>
    <col min="5" max="5" width="23.453125" style="50" customWidth="1"/>
    <col min="6" max="6" width="24.453125" style="50" customWidth="1"/>
    <col min="7" max="16384" width="11.453125" style="1"/>
  </cols>
  <sheetData>
    <row r="4" spans="2:6" ht="23.5">
      <c r="B4" s="11" t="s">
        <v>0</v>
      </c>
      <c r="C4" s="145"/>
      <c r="D4" s="145"/>
      <c r="E4" s="145"/>
      <c r="F4" s="145"/>
    </row>
    <row r="5" spans="2:6" ht="7.5" customHeight="1"/>
    <row r="6" spans="2:6" ht="15.75" customHeight="1">
      <c r="B6" s="54"/>
      <c r="C6" s="54" t="s">
        <v>1</v>
      </c>
      <c r="D6" s="54" t="s">
        <v>2</v>
      </c>
      <c r="E6" s="54" t="s">
        <v>3</v>
      </c>
      <c r="F6" s="54" t="s">
        <v>4</v>
      </c>
    </row>
    <row r="8" spans="2:6" ht="16.5" customHeight="1">
      <c r="B8" s="6" t="s">
        <v>5</v>
      </c>
      <c r="C8" s="197"/>
      <c r="D8" s="197"/>
      <c r="E8" s="197"/>
      <c r="F8" s="197"/>
    </row>
    <row r="9" spans="2:6">
      <c r="B9" s="13"/>
      <c r="C9" s="101"/>
      <c r="D9" s="193"/>
      <c r="E9" s="193"/>
      <c r="F9" s="194"/>
    </row>
    <row r="10" spans="2:6">
      <c r="B10" s="13" t="s">
        <v>6</v>
      </c>
      <c r="C10" s="105">
        <v>1000</v>
      </c>
      <c r="D10" s="203">
        <v>2011</v>
      </c>
      <c r="E10" s="203">
        <v>2025</v>
      </c>
      <c r="F10" s="203" t="s">
        <v>31</v>
      </c>
    </row>
    <row r="11" spans="2:6" ht="15.75" customHeight="1">
      <c r="B11" s="13" t="s">
        <v>8</v>
      </c>
      <c r="C11" s="106">
        <f>380+427</f>
        <v>807</v>
      </c>
      <c r="D11" s="203">
        <v>2017</v>
      </c>
      <c r="E11" s="203">
        <v>2031</v>
      </c>
      <c r="F11" s="203" t="s">
        <v>31</v>
      </c>
    </row>
    <row r="12" spans="2:6">
      <c r="C12" s="109"/>
      <c r="D12" s="200"/>
      <c r="E12" s="200"/>
    </row>
    <row r="13" spans="2:6" ht="15.75" customHeight="1">
      <c r="B13" s="6" t="s">
        <v>9</v>
      </c>
      <c r="C13" s="107"/>
      <c r="D13" s="195"/>
      <c r="E13" s="195"/>
      <c r="F13" s="197"/>
    </row>
    <row r="14" spans="2:6" ht="12" customHeight="1">
      <c r="B14" s="13"/>
      <c r="C14" s="101"/>
      <c r="D14" s="193"/>
      <c r="E14" s="193"/>
      <c r="F14" s="194"/>
    </row>
    <row r="15" spans="2:6">
      <c r="B15" s="13" t="s">
        <v>10</v>
      </c>
      <c r="C15" s="105">
        <v>1542</v>
      </c>
      <c r="D15" s="203">
        <v>2010</v>
      </c>
      <c r="E15" s="203">
        <v>2029</v>
      </c>
      <c r="F15" s="203" t="s">
        <v>7</v>
      </c>
    </row>
    <row r="16" spans="2:6">
      <c r="B16" s="13" t="s">
        <v>11</v>
      </c>
      <c r="C16" s="106" t="s">
        <v>12</v>
      </c>
      <c r="D16" s="203" t="s">
        <v>258</v>
      </c>
      <c r="E16" s="203" t="s">
        <v>233</v>
      </c>
      <c r="F16" s="203" t="s">
        <v>13</v>
      </c>
    </row>
    <row r="17" spans="2:6" ht="15" customHeight="1">
      <c r="B17" s="13" t="s">
        <v>14</v>
      </c>
      <c r="C17" s="106">
        <v>662</v>
      </c>
      <c r="D17" s="203">
        <v>2017</v>
      </c>
      <c r="E17" s="203">
        <v>2027</v>
      </c>
      <c r="F17" s="203" t="s">
        <v>7</v>
      </c>
    </row>
    <row r="18" spans="2:6" ht="15" customHeight="1">
      <c r="B18" s="13" t="s">
        <v>15</v>
      </c>
      <c r="C18" s="106">
        <v>300</v>
      </c>
      <c r="D18" s="203">
        <v>2017</v>
      </c>
      <c r="E18" s="203">
        <v>2026</v>
      </c>
      <c r="F18" s="203" t="s">
        <v>16</v>
      </c>
    </row>
    <row r="19" spans="2:6">
      <c r="B19" s="13" t="s">
        <v>17</v>
      </c>
      <c r="C19" s="106">
        <v>166</v>
      </c>
      <c r="D19" s="203">
        <v>2017</v>
      </c>
      <c r="E19" s="203">
        <v>2031</v>
      </c>
      <c r="F19" s="203" t="s">
        <v>7</v>
      </c>
    </row>
    <row r="20" spans="2:6">
      <c r="B20" s="13" t="s">
        <v>18</v>
      </c>
      <c r="C20" s="106">
        <v>500</v>
      </c>
      <c r="D20" s="203">
        <v>2020</v>
      </c>
      <c r="E20" s="203">
        <v>2030</v>
      </c>
      <c r="F20" s="203" t="s">
        <v>16</v>
      </c>
    </row>
    <row r="21" spans="2:6">
      <c r="B21" s="13" t="s">
        <v>19</v>
      </c>
      <c r="C21" s="105" t="s">
        <v>259</v>
      </c>
      <c r="D21" s="203" t="s">
        <v>260</v>
      </c>
      <c r="E21" s="203" t="s">
        <v>261</v>
      </c>
      <c r="F21" s="203" t="s">
        <v>16</v>
      </c>
    </row>
    <row r="22" spans="2:6">
      <c r="B22" s="13" t="s">
        <v>20</v>
      </c>
      <c r="C22" s="106">
        <v>200</v>
      </c>
      <c r="D22" s="203">
        <v>2023</v>
      </c>
      <c r="E22" s="203">
        <v>2030</v>
      </c>
      <c r="F22" s="203" t="s">
        <v>16</v>
      </c>
    </row>
    <row r="23" spans="2:6">
      <c r="B23" s="13" t="s">
        <v>21</v>
      </c>
      <c r="C23" s="106" t="s">
        <v>22</v>
      </c>
      <c r="D23" s="203" t="s">
        <v>234</v>
      </c>
      <c r="E23" s="203" t="s">
        <v>235</v>
      </c>
      <c r="F23" s="203" t="s">
        <v>16</v>
      </c>
    </row>
    <row r="24" spans="2:6">
      <c r="B24" s="13" t="s">
        <v>23</v>
      </c>
      <c r="C24" s="106">
        <v>24</v>
      </c>
      <c r="D24" s="203">
        <v>2024</v>
      </c>
      <c r="E24" s="203">
        <v>2033</v>
      </c>
      <c r="F24" s="203" t="s">
        <v>16</v>
      </c>
    </row>
    <row r="25" spans="2:6">
      <c r="B25" s="13" t="s">
        <v>24</v>
      </c>
      <c r="C25" s="106">
        <v>224</v>
      </c>
      <c r="D25" s="203">
        <v>2025</v>
      </c>
      <c r="E25" s="203">
        <v>2035</v>
      </c>
      <c r="F25" s="203" t="s">
        <v>16</v>
      </c>
    </row>
    <row r="26" spans="2:6">
      <c r="B26" s="13" t="s">
        <v>25</v>
      </c>
      <c r="C26" s="106">
        <v>912</v>
      </c>
      <c r="D26" s="203">
        <v>2025</v>
      </c>
      <c r="E26" s="203">
        <v>2040</v>
      </c>
      <c r="F26" s="203" t="s">
        <v>16</v>
      </c>
    </row>
    <row r="27" spans="2:6">
      <c r="B27" s="13" t="s">
        <v>26</v>
      </c>
      <c r="C27" s="105">
        <v>1100</v>
      </c>
      <c r="D27" s="203">
        <v>2026</v>
      </c>
      <c r="E27" s="203">
        <v>2040</v>
      </c>
      <c r="F27" s="203" t="s">
        <v>16</v>
      </c>
    </row>
    <row r="28" spans="2:6">
      <c r="B28" s="13" t="s">
        <v>236</v>
      </c>
      <c r="C28" s="105">
        <v>150</v>
      </c>
      <c r="D28" s="203">
        <v>2026</v>
      </c>
      <c r="E28" s="203">
        <v>2029</v>
      </c>
      <c r="F28" s="203" t="s">
        <v>16</v>
      </c>
    </row>
    <row r="29" spans="2:6">
      <c r="B29" s="13" t="s">
        <v>262</v>
      </c>
      <c r="C29" s="105">
        <v>311</v>
      </c>
      <c r="D29" s="203">
        <v>2026</v>
      </c>
      <c r="E29" s="203">
        <v>2033</v>
      </c>
      <c r="F29" s="203" t="s">
        <v>16</v>
      </c>
    </row>
    <row r="31" spans="2:6">
      <c r="B31" s="205" t="s">
        <v>27</v>
      </c>
      <c r="C31" s="205"/>
      <c r="D31" s="205"/>
      <c r="E31" s="205"/>
    </row>
    <row r="36" spans="2:6" ht="23.5">
      <c r="B36" s="11" t="s">
        <v>28</v>
      </c>
      <c r="C36" s="201"/>
      <c r="D36" s="145"/>
      <c r="E36" s="145"/>
      <c r="F36" s="145"/>
    </row>
    <row r="38" spans="2:6">
      <c r="B38" s="54"/>
      <c r="C38" s="54" t="s">
        <v>29</v>
      </c>
      <c r="D38" s="54" t="s">
        <v>2</v>
      </c>
      <c r="E38" s="54" t="s">
        <v>3</v>
      </c>
      <c r="F38" s="54" t="s">
        <v>4</v>
      </c>
    </row>
    <row r="40" spans="2:6">
      <c r="B40" s="6" t="s">
        <v>5</v>
      </c>
      <c r="C40" s="108"/>
      <c r="D40" s="197"/>
      <c r="E40" s="197"/>
      <c r="F40" s="197"/>
    </row>
    <row r="41" spans="2:6">
      <c r="B41" s="13"/>
      <c r="C41" s="112"/>
      <c r="D41" s="204"/>
      <c r="E41" s="204"/>
      <c r="F41" s="204"/>
    </row>
    <row r="42" spans="2:6">
      <c r="B42" s="13" t="s">
        <v>30</v>
      </c>
      <c r="C42" s="106">
        <v>63</v>
      </c>
      <c r="D42" s="203">
        <v>2014</v>
      </c>
      <c r="E42" s="203">
        <v>2030</v>
      </c>
      <c r="F42" s="203" t="s">
        <v>31</v>
      </c>
    </row>
    <row r="43" spans="2:6">
      <c r="B43" s="13" t="s">
        <v>32</v>
      </c>
      <c r="C43" s="106">
        <v>48</v>
      </c>
      <c r="D43" s="203">
        <v>2016</v>
      </c>
      <c r="E43" s="203">
        <v>2030</v>
      </c>
      <c r="F43" s="203" t="s">
        <v>31</v>
      </c>
    </row>
    <row r="44" spans="2:6">
      <c r="B44" s="13" t="s">
        <v>33</v>
      </c>
      <c r="C44" s="106">
        <v>52</v>
      </c>
      <c r="D44" s="203">
        <v>2018</v>
      </c>
      <c r="E44" s="203">
        <v>2030</v>
      </c>
      <c r="F44" s="203" t="s">
        <v>31</v>
      </c>
    </row>
    <row r="45" spans="2:6">
      <c r="B45" s="13" t="s">
        <v>34</v>
      </c>
      <c r="C45" s="106">
        <v>11</v>
      </c>
      <c r="D45" s="203">
        <v>2023</v>
      </c>
      <c r="E45" s="203">
        <v>2032</v>
      </c>
      <c r="F45" s="203" t="s">
        <v>31</v>
      </c>
    </row>
    <row r="46" spans="2:6">
      <c r="B46" s="13" t="s">
        <v>35</v>
      </c>
      <c r="C46" s="106">
        <v>9</v>
      </c>
      <c r="D46" s="203">
        <v>2024</v>
      </c>
      <c r="E46" s="203">
        <v>2030</v>
      </c>
      <c r="F46" s="203" t="s">
        <v>31</v>
      </c>
    </row>
    <row r="47" spans="2:6">
      <c r="B47" s="13" t="s">
        <v>36</v>
      </c>
      <c r="C47" s="106" t="s">
        <v>37</v>
      </c>
      <c r="D47" s="203">
        <v>2025</v>
      </c>
      <c r="E47" s="203">
        <v>2028</v>
      </c>
      <c r="F47" s="203" t="s">
        <v>31</v>
      </c>
    </row>
    <row r="48" spans="2:6">
      <c r="B48" s="13" t="s">
        <v>38</v>
      </c>
      <c r="C48" s="113">
        <v>200</v>
      </c>
      <c r="D48" s="204">
        <v>2026</v>
      </c>
      <c r="E48" s="204">
        <v>2031</v>
      </c>
      <c r="F48" s="204" t="s">
        <v>31</v>
      </c>
    </row>
    <row r="49" spans="2:6">
      <c r="C49" s="109"/>
      <c r="D49" s="200"/>
      <c r="E49" s="200"/>
    </row>
    <row r="50" spans="2:6">
      <c r="B50" s="6" t="s">
        <v>9</v>
      </c>
      <c r="C50" s="107"/>
      <c r="D50" s="195"/>
      <c r="E50" s="195"/>
      <c r="F50" s="197"/>
    </row>
    <row r="51" spans="2:6">
      <c r="B51" s="13"/>
      <c r="C51" s="105"/>
      <c r="D51" s="203"/>
      <c r="E51" s="203"/>
      <c r="F51" s="203"/>
    </row>
    <row r="52" spans="2:6">
      <c r="B52" s="13" t="s">
        <v>254</v>
      </c>
      <c r="C52" s="183" t="s">
        <v>255</v>
      </c>
      <c r="D52" s="204">
        <v>2016</v>
      </c>
      <c r="E52" s="204">
        <v>2029</v>
      </c>
      <c r="F52" s="204" t="s">
        <v>31</v>
      </c>
    </row>
    <row r="53" spans="2:6">
      <c r="B53" s="13" t="s">
        <v>39</v>
      </c>
      <c r="C53" s="183" t="s">
        <v>256</v>
      </c>
      <c r="D53" s="204">
        <v>2021</v>
      </c>
      <c r="E53" s="204">
        <v>2026</v>
      </c>
      <c r="F53" s="204" t="s">
        <v>31</v>
      </c>
    </row>
    <row r="54" spans="2:6">
      <c r="B54" s="13" t="s">
        <v>40</v>
      </c>
      <c r="C54" s="114">
        <v>8</v>
      </c>
      <c r="D54" s="204">
        <v>2021</v>
      </c>
      <c r="E54" s="204">
        <v>2026</v>
      </c>
      <c r="F54" s="204" t="s">
        <v>31</v>
      </c>
    </row>
    <row r="55" spans="2:6">
      <c r="B55" s="13" t="s">
        <v>41</v>
      </c>
      <c r="C55" s="114">
        <v>7</v>
      </c>
      <c r="D55" s="204">
        <v>2022</v>
      </c>
      <c r="E55" s="204">
        <v>2028</v>
      </c>
      <c r="F55" s="204" t="s">
        <v>31</v>
      </c>
    </row>
    <row r="56" spans="2:6">
      <c r="B56" s="13" t="s">
        <v>42</v>
      </c>
      <c r="C56" s="114">
        <v>11</v>
      </c>
      <c r="D56" s="204">
        <v>2022</v>
      </c>
      <c r="E56" s="204">
        <v>2027</v>
      </c>
      <c r="F56" s="204" t="s">
        <v>31</v>
      </c>
    </row>
    <row r="57" spans="2:6">
      <c r="B57" s="13" t="s">
        <v>43</v>
      </c>
      <c r="C57" s="114">
        <v>15</v>
      </c>
      <c r="D57" s="204">
        <v>2023</v>
      </c>
      <c r="E57" s="204">
        <v>2030</v>
      </c>
      <c r="F57" s="204" t="s">
        <v>31</v>
      </c>
    </row>
    <row r="58" spans="2:6">
      <c r="B58" s="13" t="s">
        <v>44</v>
      </c>
      <c r="C58" s="114">
        <v>7</v>
      </c>
      <c r="D58" s="204">
        <v>2023</v>
      </c>
      <c r="E58" s="204">
        <v>2028</v>
      </c>
      <c r="F58" s="204" t="s">
        <v>31</v>
      </c>
    </row>
    <row r="59" spans="2:6">
      <c r="B59" s="13" t="s">
        <v>45</v>
      </c>
      <c r="C59" s="114" t="s">
        <v>257</v>
      </c>
      <c r="D59" s="204">
        <v>2024</v>
      </c>
      <c r="E59" s="204">
        <v>2033</v>
      </c>
      <c r="F59" s="204" t="s">
        <v>31</v>
      </c>
    </row>
    <row r="60" spans="2:6">
      <c r="B60" s="13" t="s">
        <v>46</v>
      </c>
      <c r="C60" s="114">
        <v>8</v>
      </c>
      <c r="D60" s="204">
        <v>2024</v>
      </c>
      <c r="E60" s="204">
        <v>2028</v>
      </c>
      <c r="F60" s="204" t="s">
        <v>31</v>
      </c>
    </row>
    <row r="62" spans="2:6">
      <c r="B62" s="205" t="s">
        <v>47</v>
      </c>
      <c r="C62" s="205"/>
      <c r="D62" s="205"/>
      <c r="E62" s="205"/>
    </row>
  </sheetData>
  <mergeCells count="2">
    <mergeCell ref="B31:E31"/>
    <mergeCell ref="B62:E6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dimension ref="A4:I49"/>
  <sheetViews>
    <sheetView topLeftCell="B6" zoomScaleNormal="100" workbookViewId="0"/>
  </sheetViews>
  <sheetFormatPr defaultColWidth="11.453125" defaultRowHeight="13.5"/>
  <cols>
    <col min="1" max="1" width="0" style="1" hidden="1" customWidth="1"/>
    <col min="2" max="2" width="40.453125" style="1" customWidth="1"/>
    <col min="3" max="3" width="11.453125" style="50" customWidth="1"/>
    <col min="4" max="4" width="22" style="50" customWidth="1"/>
    <col min="5" max="5" width="33.81640625" style="50" customWidth="1"/>
    <col min="6" max="16384" width="11.453125" style="1"/>
  </cols>
  <sheetData>
    <row r="4" spans="1:9" ht="23.5">
      <c r="B4" s="11" t="s">
        <v>0</v>
      </c>
      <c r="C4" s="145"/>
      <c r="D4" s="145"/>
      <c r="E4" s="145"/>
    </row>
    <row r="5" spans="1:9" ht="7.5" customHeight="1"/>
    <row r="6" spans="1:9" ht="15.75" customHeight="1">
      <c r="A6" s="1">
        <v>1</v>
      </c>
      <c r="B6" s="206" t="s">
        <v>48</v>
      </c>
      <c r="C6" s="208" t="s">
        <v>49</v>
      </c>
      <c r="D6" s="208" t="s">
        <v>50</v>
      </c>
      <c r="E6" s="208" t="s">
        <v>51</v>
      </c>
    </row>
    <row r="7" spans="1:9">
      <c r="A7" s="1">
        <v>2</v>
      </c>
      <c r="B7" s="206"/>
      <c r="C7" s="208"/>
      <c r="D7" s="208"/>
      <c r="E7" s="208"/>
      <c r="H7" s="77"/>
    </row>
    <row r="8" spans="1:9" ht="4.5" customHeight="1">
      <c r="A8" s="1">
        <v>3</v>
      </c>
    </row>
    <row r="9" spans="1:9">
      <c r="A9" s="1">
        <v>4</v>
      </c>
      <c r="B9" s="75" t="s">
        <v>52</v>
      </c>
      <c r="C9" s="193">
        <v>199</v>
      </c>
      <c r="D9" s="194" t="s">
        <v>53</v>
      </c>
      <c r="E9" s="194" t="s">
        <v>54</v>
      </c>
      <c r="H9" s="77"/>
      <c r="I9" s="79"/>
    </row>
    <row r="10" spans="1:9" ht="15.75" customHeight="1">
      <c r="A10" s="1">
        <v>6</v>
      </c>
      <c r="B10" s="75" t="s">
        <v>55</v>
      </c>
      <c r="C10" s="193">
        <v>660</v>
      </c>
      <c r="D10" s="194" t="s">
        <v>53</v>
      </c>
      <c r="E10" s="194" t="s">
        <v>56</v>
      </c>
      <c r="I10" s="79"/>
    </row>
    <row r="11" spans="1:9">
      <c r="A11" s="1">
        <v>7</v>
      </c>
      <c r="B11" s="75" t="s">
        <v>57</v>
      </c>
      <c r="C11" s="193">
        <v>249.2</v>
      </c>
      <c r="D11" s="194" t="s">
        <v>53</v>
      </c>
      <c r="E11" s="194" t="s">
        <v>54</v>
      </c>
      <c r="H11" s="77"/>
      <c r="I11" s="79"/>
    </row>
    <row r="12" spans="1:9" ht="15.75" customHeight="1">
      <c r="A12" s="1">
        <v>8</v>
      </c>
      <c r="B12" s="75" t="s">
        <v>58</v>
      </c>
      <c r="C12" s="193">
        <v>323.8</v>
      </c>
      <c r="D12" s="194" t="s">
        <v>53</v>
      </c>
      <c r="E12" s="194" t="s">
        <v>56</v>
      </c>
      <c r="H12" s="77"/>
      <c r="I12" s="79"/>
    </row>
    <row r="13" spans="1:9">
      <c r="A13" s="1">
        <v>9</v>
      </c>
      <c r="B13" s="75" t="s">
        <v>59</v>
      </c>
      <c r="C13" s="193">
        <v>172</v>
      </c>
      <c r="D13" s="194" t="s">
        <v>53</v>
      </c>
      <c r="E13" s="194" t="s">
        <v>60</v>
      </c>
    </row>
    <row r="14" spans="1:9">
      <c r="A14" s="1">
        <v>10</v>
      </c>
      <c r="B14" s="6" t="s">
        <v>61</v>
      </c>
      <c r="C14" s="195">
        <v>1604.4069</v>
      </c>
      <c r="D14" s="196"/>
      <c r="E14" s="197"/>
      <c r="F14" s="79"/>
      <c r="G14" s="79"/>
      <c r="H14" s="79"/>
    </row>
    <row r="15" spans="1:9">
      <c r="A15" s="1">
        <v>11</v>
      </c>
      <c r="B15" s="75" t="s">
        <v>62</v>
      </c>
      <c r="C15" s="193">
        <v>9</v>
      </c>
      <c r="D15" s="194" t="s">
        <v>63</v>
      </c>
      <c r="E15" s="194" t="s">
        <v>56</v>
      </c>
      <c r="F15" s="79"/>
      <c r="G15" s="79"/>
      <c r="H15" s="79"/>
    </row>
    <row r="16" spans="1:9" ht="15" customHeight="1">
      <c r="A16" s="1">
        <v>12</v>
      </c>
      <c r="B16" s="75" t="s">
        <v>64</v>
      </c>
      <c r="C16" s="193">
        <v>9.1999999999999993</v>
      </c>
      <c r="D16" s="194" t="s">
        <v>63</v>
      </c>
      <c r="E16" s="194" t="s">
        <v>56</v>
      </c>
      <c r="F16" s="79"/>
      <c r="G16" s="79"/>
      <c r="H16" s="79"/>
    </row>
    <row r="17" spans="1:8">
      <c r="A17" s="1">
        <v>13</v>
      </c>
      <c r="B17" s="75" t="s">
        <v>65</v>
      </c>
      <c r="C17" s="193">
        <v>211.6</v>
      </c>
      <c r="D17" s="194" t="s">
        <v>63</v>
      </c>
      <c r="E17" s="194" t="s">
        <v>66</v>
      </c>
      <c r="F17" s="79"/>
      <c r="H17" s="79"/>
    </row>
    <row r="18" spans="1:8">
      <c r="B18" s="6" t="s">
        <v>67</v>
      </c>
      <c r="C18" s="195">
        <v>229.82499999999999</v>
      </c>
      <c r="D18" s="196"/>
      <c r="E18" s="197"/>
      <c r="F18" s="47"/>
      <c r="G18" s="79"/>
      <c r="H18" s="79"/>
    </row>
    <row r="19" spans="1:8">
      <c r="B19" s="75" t="s">
        <v>68</v>
      </c>
      <c r="C19" s="193">
        <v>335.4</v>
      </c>
      <c r="D19" s="194" t="s">
        <v>69</v>
      </c>
      <c r="E19" s="194" t="s">
        <v>70</v>
      </c>
      <c r="F19" s="79"/>
      <c r="G19" s="77"/>
      <c r="H19" s="79"/>
    </row>
    <row r="20" spans="1:8">
      <c r="B20" s="75" t="s">
        <v>71</v>
      </c>
      <c r="C20" s="193">
        <v>411.2</v>
      </c>
      <c r="D20" s="194" t="s">
        <v>69</v>
      </c>
      <c r="E20" s="194" t="s">
        <v>70</v>
      </c>
      <c r="F20" s="79"/>
      <c r="G20" s="77"/>
    </row>
    <row r="21" spans="1:8">
      <c r="B21" s="75" t="s">
        <v>72</v>
      </c>
      <c r="C21" s="193">
        <v>89.2</v>
      </c>
      <c r="D21" s="194" t="s">
        <v>73</v>
      </c>
      <c r="E21" s="194" t="s">
        <v>70</v>
      </c>
      <c r="F21" s="79"/>
    </row>
    <row r="22" spans="1:8">
      <c r="B22" s="75" t="s">
        <v>74</v>
      </c>
      <c r="C22" s="193">
        <v>249.7</v>
      </c>
      <c r="D22" s="194" t="s">
        <v>73</v>
      </c>
      <c r="E22" s="194" t="s">
        <v>75</v>
      </c>
      <c r="F22" s="79"/>
    </row>
    <row r="23" spans="1:8">
      <c r="B23" s="75" t="s">
        <v>76</v>
      </c>
      <c r="C23" s="193">
        <v>107.7</v>
      </c>
      <c r="D23" s="194" t="s">
        <v>77</v>
      </c>
      <c r="E23" s="194" t="s">
        <v>78</v>
      </c>
      <c r="F23" s="79"/>
    </row>
    <row r="24" spans="1:8">
      <c r="B24" s="75" t="s">
        <v>79</v>
      </c>
      <c r="C24" s="193">
        <v>379</v>
      </c>
      <c r="D24" s="194" t="s">
        <v>80</v>
      </c>
      <c r="E24" s="194" t="s">
        <v>78</v>
      </c>
      <c r="F24" s="79"/>
    </row>
    <row r="25" spans="1:8">
      <c r="B25" s="6" t="s">
        <v>81</v>
      </c>
      <c r="C25" s="195">
        <v>1572.106</v>
      </c>
      <c r="D25" s="196"/>
      <c r="E25" s="196"/>
      <c r="F25" s="79"/>
    </row>
    <row r="26" spans="1:8">
      <c r="B26" s="75" t="s">
        <v>82</v>
      </c>
      <c r="C26" s="193">
        <v>193</v>
      </c>
      <c r="D26" s="194" t="s">
        <v>83</v>
      </c>
      <c r="E26" s="194" t="s">
        <v>84</v>
      </c>
      <c r="F26" s="79"/>
    </row>
    <row r="27" spans="1:8">
      <c r="B27" s="75" t="s">
        <v>85</v>
      </c>
      <c r="C27" s="193">
        <v>46</v>
      </c>
      <c r="D27" s="194" t="s">
        <v>83</v>
      </c>
      <c r="E27" s="194" t="s">
        <v>86</v>
      </c>
      <c r="F27" s="79"/>
    </row>
    <row r="28" spans="1:8">
      <c r="B28" s="75" t="s">
        <v>237</v>
      </c>
      <c r="C28" s="193">
        <v>816</v>
      </c>
      <c r="D28" s="194" t="s">
        <v>83</v>
      </c>
      <c r="E28" s="194" t="s">
        <v>66</v>
      </c>
      <c r="F28" s="79"/>
    </row>
    <row r="29" spans="1:8">
      <c r="B29" s="6" t="s">
        <v>87</v>
      </c>
      <c r="C29" s="195">
        <v>1055.2</v>
      </c>
      <c r="D29" s="196"/>
      <c r="E29" s="196"/>
      <c r="F29" s="79"/>
    </row>
    <row r="30" spans="1:8">
      <c r="B30" s="74" t="s">
        <v>88</v>
      </c>
      <c r="C30" s="198">
        <f>C14+C18+C25+C29</f>
        <v>4461.5379000000003</v>
      </c>
      <c r="D30" s="198"/>
      <c r="E30" s="199"/>
      <c r="F30" s="79"/>
      <c r="G30" s="77"/>
    </row>
    <row r="31" spans="1:8">
      <c r="C31" s="200"/>
      <c r="D31" s="200"/>
      <c r="F31" s="79"/>
    </row>
    <row r="32" spans="1:8" ht="23.5">
      <c r="B32" s="11" t="s">
        <v>28</v>
      </c>
      <c r="C32" s="201"/>
      <c r="D32" s="145"/>
      <c r="E32" s="145"/>
      <c r="F32" s="79"/>
    </row>
    <row r="33" spans="1:7" ht="7.5" customHeight="1">
      <c r="C33" s="200"/>
      <c r="F33" s="79"/>
    </row>
    <row r="34" spans="1:7">
      <c r="A34" s="1">
        <v>1</v>
      </c>
      <c r="B34" s="206" t="s">
        <v>48</v>
      </c>
      <c r="C34" s="207" t="s">
        <v>49</v>
      </c>
      <c r="D34" s="208" t="s">
        <v>50</v>
      </c>
      <c r="E34" s="208" t="s">
        <v>51</v>
      </c>
      <c r="F34" s="79"/>
    </row>
    <row r="35" spans="1:7">
      <c r="A35" s="1">
        <v>2</v>
      </c>
      <c r="B35" s="206"/>
      <c r="C35" s="207"/>
      <c r="D35" s="208"/>
      <c r="E35" s="208"/>
      <c r="F35" s="79"/>
    </row>
    <row r="36" spans="1:7" ht="4.5" customHeight="1">
      <c r="A36" s="1">
        <v>3</v>
      </c>
      <c r="C36" s="200"/>
      <c r="F36" s="79"/>
    </row>
    <row r="37" spans="1:7">
      <c r="A37" s="1">
        <v>4</v>
      </c>
      <c r="B37" s="5" t="s">
        <v>89</v>
      </c>
      <c r="C37" s="193">
        <v>572</v>
      </c>
      <c r="D37" s="194" t="s">
        <v>69</v>
      </c>
      <c r="E37" s="194" t="s">
        <v>90</v>
      </c>
      <c r="F37" s="79"/>
    </row>
    <row r="38" spans="1:7">
      <c r="A38" s="1">
        <v>5</v>
      </c>
      <c r="B38" s="6" t="s">
        <v>81</v>
      </c>
      <c r="C38" s="195">
        <f>SUM(C32:C37)</f>
        <v>572</v>
      </c>
      <c r="D38" s="197"/>
      <c r="E38" s="197"/>
      <c r="F38" s="79"/>
      <c r="G38" s="77"/>
    </row>
    <row r="39" spans="1:7" ht="19.5" customHeight="1">
      <c r="A39" s="1">
        <v>6</v>
      </c>
      <c r="B39" s="74" t="s">
        <v>91</v>
      </c>
      <c r="C39" s="198">
        <f>C38</f>
        <v>572</v>
      </c>
      <c r="D39" s="54"/>
      <c r="E39" s="54"/>
      <c r="F39" s="79"/>
    </row>
    <row r="40" spans="1:7">
      <c r="C40" s="200"/>
      <c r="F40" s="79"/>
    </row>
    <row r="41" spans="1:7">
      <c r="B41" s="3" t="s">
        <v>92</v>
      </c>
      <c r="C41" s="207">
        <f>C30+C39</f>
        <v>5033.5379000000003</v>
      </c>
      <c r="D41" s="207"/>
      <c r="E41" s="207"/>
      <c r="F41" s="79"/>
    </row>
    <row r="42" spans="1:7">
      <c r="B42" s="3"/>
      <c r="C42" s="207"/>
      <c r="D42" s="208"/>
      <c r="E42" s="208"/>
      <c r="F42" s="79"/>
    </row>
    <row r="43" spans="1:7">
      <c r="C43" s="202"/>
      <c r="D43" s="202"/>
      <c r="E43" s="202"/>
    </row>
    <row r="44" spans="1:7">
      <c r="C44" s="202"/>
      <c r="D44" s="202"/>
      <c r="E44" s="202"/>
    </row>
    <row r="45" spans="1:7">
      <c r="C45" s="202"/>
      <c r="D45" s="202"/>
      <c r="E45" s="202"/>
    </row>
    <row r="46" spans="1:7">
      <c r="C46" s="202"/>
      <c r="D46" s="202"/>
      <c r="E46" s="202"/>
    </row>
    <row r="47" spans="1:7">
      <c r="C47" s="202"/>
      <c r="D47" s="202"/>
      <c r="E47" s="202"/>
    </row>
    <row r="48" spans="1:7">
      <c r="C48" s="202"/>
      <c r="D48" s="202"/>
      <c r="E48" s="202"/>
    </row>
    <row r="49" spans="3:5">
      <c r="C49" s="202"/>
      <c r="D49" s="202"/>
      <c r="E49" s="202"/>
    </row>
  </sheetData>
  <mergeCells count="11">
    <mergeCell ref="B6:B7"/>
    <mergeCell ref="B34:B35"/>
    <mergeCell ref="C41:C42"/>
    <mergeCell ref="D41:D42"/>
    <mergeCell ref="E41:E42"/>
    <mergeCell ref="D6:D7"/>
    <mergeCell ref="E6:E7"/>
    <mergeCell ref="C6:C7"/>
    <mergeCell ref="D34:D35"/>
    <mergeCell ref="E34:E35"/>
    <mergeCell ref="C34:C3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4:BE53"/>
  <sheetViews>
    <sheetView topLeftCell="E6" zoomScale="90" zoomScaleNormal="90" workbookViewId="0">
      <selection activeCell="AJ55" sqref="AJ55:AK55"/>
    </sheetView>
  </sheetViews>
  <sheetFormatPr defaultColWidth="11.453125" defaultRowHeight="13.5"/>
  <cols>
    <col min="1" max="1" width="2.81640625" style="1" bestFit="1" customWidth="1"/>
    <col min="2" max="2" width="92.453125" style="1" bestFit="1" customWidth="1"/>
    <col min="3" max="5" width="7.08984375" style="1" bestFit="1" customWidth="1"/>
    <col min="6" max="6" width="11.453125" style="1"/>
    <col min="7" max="7" width="2.81640625" style="51" bestFit="1" customWidth="1"/>
    <col min="8" max="8" width="33.08984375" style="1" bestFit="1" customWidth="1"/>
    <col min="9" max="32" width="7.08984375" style="50" bestFit="1" customWidth="1"/>
    <col min="33" max="37" width="8.81640625" style="50" bestFit="1" customWidth="1"/>
    <col min="38" max="38" width="8.81640625" style="50" customWidth="1"/>
    <col min="39" max="56" width="8.81640625" style="50" bestFit="1" customWidth="1"/>
    <col min="57" max="57" width="5.81640625" style="1" customWidth="1"/>
    <col min="58" max="16384" width="11.453125" style="1"/>
  </cols>
  <sheetData>
    <row r="4" spans="1:57" ht="23.5">
      <c r="B4" s="11" t="s">
        <v>0</v>
      </c>
      <c r="C4" s="12"/>
      <c r="D4" s="12"/>
      <c r="E4" s="12"/>
      <c r="H4" s="11" t="s">
        <v>0</v>
      </c>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6"/>
      <c r="BD4" s="146"/>
    </row>
    <row r="5" spans="1:57">
      <c r="BC5" s="147"/>
      <c r="BD5" s="147"/>
    </row>
    <row r="6" spans="1:57">
      <c r="A6" s="51">
        <v>1</v>
      </c>
      <c r="B6" s="3" t="s">
        <v>93</v>
      </c>
      <c r="C6" s="208" t="s">
        <v>95</v>
      </c>
      <c r="D6" s="208" t="s">
        <v>263</v>
      </c>
      <c r="E6" s="208" t="s">
        <v>96</v>
      </c>
      <c r="G6" s="51">
        <v>1</v>
      </c>
      <c r="H6" s="3" t="s">
        <v>93</v>
      </c>
      <c r="I6" s="208" t="s">
        <v>97</v>
      </c>
      <c r="J6" s="208" t="s">
        <v>98</v>
      </c>
      <c r="K6" s="208" t="s">
        <v>99</v>
      </c>
      <c r="L6" s="208" t="s">
        <v>100</v>
      </c>
      <c r="M6" s="208" t="s">
        <v>101</v>
      </c>
      <c r="N6" s="208" t="s">
        <v>102</v>
      </c>
      <c r="O6" s="208" t="s">
        <v>103</v>
      </c>
      <c r="P6" s="208" t="s">
        <v>104</v>
      </c>
      <c r="Q6" s="208" t="s">
        <v>105</v>
      </c>
      <c r="R6" s="208" t="s">
        <v>106</v>
      </c>
      <c r="S6" s="208" t="s">
        <v>107</v>
      </c>
      <c r="T6" s="208" t="s">
        <v>108</v>
      </c>
      <c r="U6" s="208" t="s">
        <v>109</v>
      </c>
      <c r="V6" s="208" t="s">
        <v>110</v>
      </c>
      <c r="W6" s="208" t="s">
        <v>111</v>
      </c>
      <c r="X6" s="208" t="s">
        <v>112</v>
      </c>
      <c r="Y6" s="208" t="s">
        <v>113</v>
      </c>
      <c r="Z6" s="208" t="s">
        <v>114</v>
      </c>
      <c r="AA6" s="208" t="s">
        <v>115</v>
      </c>
      <c r="AB6" s="208" t="s">
        <v>116</v>
      </c>
      <c r="AC6" s="208" t="s">
        <v>117</v>
      </c>
      <c r="AD6" s="208" t="s">
        <v>118</v>
      </c>
      <c r="AE6" s="208" t="s">
        <v>119</v>
      </c>
      <c r="AF6" s="208" t="s">
        <v>120</v>
      </c>
      <c r="AG6" s="208" t="s">
        <v>121</v>
      </c>
      <c r="AH6" s="208" t="s">
        <v>122</v>
      </c>
      <c r="AI6" s="208" t="s">
        <v>123</v>
      </c>
      <c r="AJ6" s="208" t="s">
        <v>124</v>
      </c>
      <c r="AK6" s="208" t="s">
        <v>125</v>
      </c>
      <c r="AL6" s="208" t="s">
        <v>126</v>
      </c>
      <c r="AM6" s="208" t="s">
        <v>127</v>
      </c>
      <c r="AN6" s="208" t="s">
        <v>128</v>
      </c>
      <c r="AO6" s="208" t="s">
        <v>129</v>
      </c>
      <c r="AP6" s="208" t="s">
        <v>130</v>
      </c>
      <c r="AQ6" s="208" t="s">
        <v>131</v>
      </c>
      <c r="AR6" s="208" t="s">
        <v>132</v>
      </c>
      <c r="AS6" s="208" t="s">
        <v>133</v>
      </c>
      <c r="AT6" s="208" t="s">
        <v>134</v>
      </c>
      <c r="AU6" s="208" t="s">
        <v>135</v>
      </c>
      <c r="AV6" s="208" t="s">
        <v>94</v>
      </c>
      <c r="AW6" s="208" t="s">
        <v>136</v>
      </c>
      <c r="AX6" s="208" t="s">
        <v>137</v>
      </c>
      <c r="AY6" s="208" t="s">
        <v>138</v>
      </c>
      <c r="AZ6" s="208" t="s">
        <v>95</v>
      </c>
      <c r="BA6" s="208" t="s">
        <v>231</v>
      </c>
      <c r="BB6" s="208" t="s">
        <v>232</v>
      </c>
      <c r="BC6" s="208" t="s">
        <v>252</v>
      </c>
      <c r="BD6" s="208" t="s">
        <v>263</v>
      </c>
    </row>
    <row r="7" spans="1:57">
      <c r="A7" s="51">
        <f>+A6+1</f>
        <v>2</v>
      </c>
      <c r="B7" s="3" t="s">
        <v>139</v>
      </c>
      <c r="C7" s="208"/>
      <c r="D7" s="208"/>
      <c r="E7" s="208"/>
      <c r="G7" s="51">
        <f>G6+1</f>
        <v>2</v>
      </c>
      <c r="H7" s="3" t="s">
        <v>139</v>
      </c>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row>
    <row r="8" spans="1:57">
      <c r="A8" s="51">
        <f t="shared" ref="A8:A29" si="0">+A7+1</f>
        <v>3</v>
      </c>
      <c r="C8" s="70"/>
      <c r="D8" s="70"/>
      <c r="E8" s="50"/>
      <c r="G8" s="51">
        <f t="shared" ref="G8:G29" si="1">G7+1</f>
        <v>3</v>
      </c>
    </row>
    <row r="9" spans="1:57">
      <c r="A9" s="51">
        <f t="shared" si="0"/>
        <v>4</v>
      </c>
      <c r="B9" s="6" t="s">
        <v>140</v>
      </c>
      <c r="C9" s="96">
        <f>+SUM(C11:C13)</f>
        <v>2867.0602486715661</v>
      </c>
      <c r="D9" s="96">
        <f t="shared" ref="D9" si="2">+SUM(D11:D13)</f>
        <v>2582.1801601692914</v>
      </c>
      <c r="E9" s="60">
        <f>D9/C9-1</f>
        <v>-9.9363132893447892E-2</v>
      </c>
      <c r="G9" s="51">
        <f t="shared" si="1"/>
        <v>4</v>
      </c>
      <c r="H9" s="6" t="s">
        <v>140</v>
      </c>
      <c r="I9" s="148">
        <f>SUM(I11:I13)</f>
        <v>2560.681023770358</v>
      </c>
      <c r="J9" s="148">
        <f t="shared" ref="J9:W9" si="3">SUM(J11:J13)</f>
        <v>3204.9189762296419</v>
      </c>
      <c r="K9" s="148">
        <f t="shared" si="3"/>
        <v>3160</v>
      </c>
      <c r="L9" s="148">
        <f t="shared" si="3"/>
        <v>3256.6374880461249</v>
      </c>
      <c r="M9" s="148">
        <f t="shared" si="3"/>
        <v>3108.5000952819764</v>
      </c>
      <c r="N9" s="148">
        <f t="shared" si="3"/>
        <v>3307.390542442422</v>
      </c>
      <c r="O9" s="148">
        <f t="shared" si="3"/>
        <v>3196.9342477735267</v>
      </c>
      <c r="P9" s="148">
        <f t="shared" si="3"/>
        <v>2884.5970569424348</v>
      </c>
      <c r="Q9" s="148">
        <f t="shared" si="3"/>
        <v>3159.4090628176209</v>
      </c>
      <c r="R9" s="148">
        <f t="shared" si="3"/>
        <v>3243.5380586726274</v>
      </c>
      <c r="S9" s="148">
        <f t="shared" si="3"/>
        <v>2781</v>
      </c>
      <c r="T9" s="148">
        <f t="shared" si="3"/>
        <v>2772.5335138224214</v>
      </c>
      <c r="U9" s="148">
        <f t="shared" si="3"/>
        <v>3110.0663316242094</v>
      </c>
      <c r="V9" s="148">
        <f t="shared" si="3"/>
        <v>3272.6612769021672</v>
      </c>
      <c r="W9" s="148">
        <f t="shared" si="3"/>
        <v>3026.6000000000004</v>
      </c>
      <c r="X9" s="148">
        <f t="shared" ref="X9:Y9" si="4">SUM(X11:X13)</f>
        <v>3018.3478999999998</v>
      </c>
      <c r="Y9" s="148">
        <f t="shared" si="4"/>
        <v>3407.8686676943248</v>
      </c>
      <c r="Z9" s="148">
        <f t="shared" ref="Z9" si="5">SUM(Z11:Z13)</f>
        <v>3424.7141303512244</v>
      </c>
      <c r="AA9" s="148">
        <f t="shared" ref="AA9:AN9" si="6">SUM(AA11:AA13)</f>
        <v>3024.3315116932845</v>
      </c>
      <c r="AB9" s="148">
        <f t="shared" si="6"/>
        <v>2985.7599999999998</v>
      </c>
      <c r="AC9" s="148">
        <f t="shared" si="6"/>
        <v>3258.472476178159</v>
      </c>
      <c r="AD9" s="148">
        <f t="shared" si="6"/>
        <v>3269.1335247947418</v>
      </c>
      <c r="AE9" s="148">
        <f t="shared" si="6"/>
        <v>2892.5098733903596</v>
      </c>
      <c r="AF9" s="148">
        <f t="shared" si="6"/>
        <v>2757.7442338119999</v>
      </c>
      <c r="AG9" s="186">
        <f t="shared" si="6"/>
        <v>2894.7184263164399</v>
      </c>
      <c r="AH9" s="186">
        <f t="shared" si="6"/>
        <v>3020.1895664713779</v>
      </c>
      <c r="AI9" s="186">
        <f t="shared" si="6"/>
        <v>3453.1873442230262</v>
      </c>
      <c r="AJ9" s="186">
        <f t="shared" si="6"/>
        <v>2677.069158441248</v>
      </c>
      <c r="AK9" s="186">
        <f t="shared" si="6"/>
        <v>2521.9834357051286</v>
      </c>
      <c r="AL9" s="186">
        <f t="shared" si="6"/>
        <v>3075.8702213144702</v>
      </c>
      <c r="AM9" s="186">
        <f t="shared" si="6"/>
        <v>2756.2184222706778</v>
      </c>
      <c r="AN9" s="186">
        <f t="shared" si="6"/>
        <v>2582.3047501758483</v>
      </c>
      <c r="AO9" s="186">
        <f>SUM(AO11:AO13)</f>
        <v>3189.4717932197937</v>
      </c>
      <c r="AP9" s="186">
        <f>+SUM(AP11:AP13)</f>
        <v>3550.3473313855357</v>
      </c>
      <c r="AQ9" s="186">
        <f>+SUM(AQ11:AQ13)</f>
        <v>3211.2314003461747</v>
      </c>
      <c r="AR9" s="186">
        <f>+SUM(AR11:AR13)</f>
        <v>3382.8923532927879</v>
      </c>
      <c r="AS9" s="186">
        <f t="shared" ref="AS9:AZ9" si="7">+SUM(AS11:AS13)</f>
        <v>3362.9314742877596</v>
      </c>
      <c r="AT9" s="186">
        <f t="shared" si="7"/>
        <v>3441.900620641658</v>
      </c>
      <c r="AU9" s="186">
        <f t="shared" si="7"/>
        <v>3223.210721393848</v>
      </c>
      <c r="AV9" s="186">
        <f t="shared" si="7"/>
        <v>2945.9252992253309</v>
      </c>
      <c r="AW9" s="186">
        <f t="shared" si="7"/>
        <v>3151.680110898259</v>
      </c>
      <c r="AX9" s="186">
        <f t="shared" si="7"/>
        <v>3190.5787167853487</v>
      </c>
      <c r="AY9" s="186">
        <f t="shared" si="7"/>
        <v>2839.8735179250689</v>
      </c>
      <c r="AZ9" s="186">
        <f t="shared" si="7"/>
        <v>2867.0602486715661</v>
      </c>
      <c r="BA9" s="186">
        <f t="shared" ref="BA9:BB9" si="8">+SUM(BA11:BA13)</f>
        <v>2799.5930479626281</v>
      </c>
      <c r="BB9" s="186">
        <f t="shared" si="8"/>
        <v>2902.4743349930732</v>
      </c>
      <c r="BC9" s="186">
        <f>+SUM(BC11:BC13)</f>
        <v>2744.6258219681013</v>
      </c>
      <c r="BD9" s="186">
        <f>+SUM(BD11:BD13)</f>
        <v>2582.1801601692914</v>
      </c>
    </row>
    <row r="10" spans="1:57" ht="5.25" customHeight="1">
      <c r="A10" s="51">
        <f t="shared" si="0"/>
        <v>5</v>
      </c>
      <c r="C10" s="70"/>
      <c r="D10" s="70"/>
      <c r="E10" s="70"/>
      <c r="G10" s="51">
        <f t="shared" si="1"/>
        <v>5</v>
      </c>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row>
    <row r="11" spans="1:57">
      <c r="A11" s="51">
        <f t="shared" si="0"/>
        <v>6</v>
      </c>
      <c r="B11" s="5" t="s">
        <v>141</v>
      </c>
      <c r="C11" s="21">
        <f>HLOOKUP($C$6,$H$6:$BE$29,$G11,FALSE)</f>
        <v>313.58210378775834</v>
      </c>
      <c r="D11" s="21">
        <f>HLOOKUP($D$6,$H$6:$BE$29,$G11,FALSE)</f>
        <v>369.36365555082671</v>
      </c>
      <c r="E11" s="42">
        <f>+D11/C11-1</f>
        <v>0.1778849975469996</v>
      </c>
      <c r="G11" s="51">
        <f t="shared" si="1"/>
        <v>6</v>
      </c>
      <c r="H11" s="5" t="s">
        <v>141</v>
      </c>
      <c r="I11" s="149">
        <v>1109</v>
      </c>
      <c r="J11" s="149">
        <v>1621</v>
      </c>
      <c r="K11" s="149">
        <v>1816</v>
      </c>
      <c r="L11" s="149">
        <v>2109</v>
      </c>
      <c r="M11" s="149">
        <v>1733.6471680194898</v>
      </c>
      <c r="N11" s="149">
        <v>1698.807051092178</v>
      </c>
      <c r="O11" s="149">
        <v>1635.6751473021668</v>
      </c>
      <c r="P11" s="149">
        <v>1556.7919803760619</v>
      </c>
      <c r="Q11" s="149">
        <v>1644.6652440438811</v>
      </c>
      <c r="R11" s="149">
        <v>1622.1834633647968</v>
      </c>
      <c r="S11" s="149">
        <v>1621</v>
      </c>
      <c r="T11" s="149">
        <v>1645.6228534367942</v>
      </c>
      <c r="U11" s="149">
        <v>1654.636696809614</v>
      </c>
      <c r="V11" s="149">
        <v>1578.8122475593327</v>
      </c>
      <c r="W11" s="149">
        <v>1579.9</v>
      </c>
      <c r="X11" s="149">
        <v>1489.7</v>
      </c>
      <c r="Y11" s="149">
        <v>1416.5104173471059</v>
      </c>
      <c r="Z11" s="149">
        <v>1376.7867522959921</v>
      </c>
      <c r="AA11" s="149">
        <v>1368.2160000000001</v>
      </c>
      <c r="AB11" s="149">
        <v>1255.8720000000001</v>
      </c>
      <c r="AC11" s="149">
        <v>1086.4614696775211</v>
      </c>
      <c r="AD11" s="149">
        <v>1111.3063159999999</v>
      </c>
      <c r="AE11" s="149">
        <v>1125.5098733903596</v>
      </c>
      <c r="AF11" s="149">
        <v>1024.871184053</v>
      </c>
      <c r="AG11" s="189">
        <v>788.30658700000004</v>
      </c>
      <c r="AH11" s="189">
        <v>783.91245300000003</v>
      </c>
      <c r="AI11" s="189">
        <v>827.47447275453328</v>
      </c>
      <c r="AJ11" s="189">
        <v>753.238795281791</v>
      </c>
      <c r="AK11" s="189">
        <v>727.339743</v>
      </c>
      <c r="AL11" s="189">
        <v>789.44461200000001</v>
      </c>
      <c r="AM11" s="189">
        <v>845.33437100000003</v>
      </c>
      <c r="AN11" s="189">
        <v>741.87227310000003</v>
      </c>
      <c r="AO11" s="189">
        <v>549.42374394000001</v>
      </c>
      <c r="AP11" s="189">
        <v>621.54184814999996</v>
      </c>
      <c r="AQ11" s="189">
        <v>658.12348699999995</v>
      </c>
      <c r="AR11" s="189">
        <v>580.798226</v>
      </c>
      <c r="AS11" s="189">
        <v>620.50865699999997</v>
      </c>
      <c r="AT11" s="189">
        <v>656.82865500000003</v>
      </c>
      <c r="AU11" s="189">
        <v>694.58223799999996</v>
      </c>
      <c r="AV11" s="189">
        <v>608.15510398702861</v>
      </c>
      <c r="AW11" s="189">
        <v>244.59062529924387</v>
      </c>
      <c r="AX11" s="189">
        <v>267.69344266810157</v>
      </c>
      <c r="AY11" s="189">
        <v>257.2360756168178</v>
      </c>
      <c r="AZ11" s="189">
        <v>313.58210378775834</v>
      </c>
      <c r="BA11" s="189">
        <v>392.27714667800001</v>
      </c>
      <c r="BB11" s="189">
        <v>404.51687100000004</v>
      </c>
      <c r="BC11" s="189">
        <v>415.79482576187525</v>
      </c>
      <c r="BD11" s="189">
        <v>369.36365555082671</v>
      </c>
      <c r="BE11" s="22"/>
    </row>
    <row r="12" spans="1:57">
      <c r="A12" s="51">
        <f t="shared" si="0"/>
        <v>7</v>
      </c>
      <c r="B12" s="5" t="s">
        <v>142</v>
      </c>
      <c r="C12" s="21">
        <f>HLOOKUP($C$6,$H$6:$BE$29,$G12,FALSE)</f>
        <v>2439.1982225221409</v>
      </c>
      <c r="D12" s="21">
        <f>HLOOKUP($D$6,$H$6:$BE$29,$G12,FALSE)</f>
        <v>2195.3482032613856</v>
      </c>
      <c r="E12" s="42">
        <f t="shared" ref="E12" si="9">+D12/C12-1</f>
        <v>-9.9971382813084153E-2</v>
      </c>
      <c r="G12" s="51">
        <f t="shared" si="1"/>
        <v>7</v>
      </c>
      <c r="H12" s="5" t="s">
        <v>142</v>
      </c>
      <c r="I12" s="149">
        <v>1232.7135073230352</v>
      </c>
      <c r="J12" s="149">
        <v>1159.3864926769647</v>
      </c>
      <c r="K12" s="149">
        <v>1197</v>
      </c>
      <c r="L12" s="149">
        <v>1147.6374880461249</v>
      </c>
      <c r="M12" s="149">
        <v>1047.8529272624869</v>
      </c>
      <c r="N12" s="149">
        <v>1124.583491350244</v>
      </c>
      <c r="O12" s="149">
        <v>1105.54281147136</v>
      </c>
      <c r="P12" s="149">
        <v>1150.043912020727</v>
      </c>
      <c r="Q12" s="149">
        <v>1111.9510521693539</v>
      </c>
      <c r="R12" s="149">
        <v>1108.645275548731</v>
      </c>
      <c r="S12" s="149">
        <v>1160</v>
      </c>
      <c r="T12" s="149">
        <v>1126.9106603856271</v>
      </c>
      <c r="U12" s="149">
        <v>1099.855435357053</v>
      </c>
      <c r="V12" s="149">
        <v>1217.4004521789029</v>
      </c>
      <c r="W12" s="149">
        <v>1230.9000000000001</v>
      </c>
      <c r="X12" s="149">
        <v>1183.54</v>
      </c>
      <c r="Y12" s="149">
        <v>1466.8419977512128</v>
      </c>
      <c r="Z12" s="149">
        <v>1530.5063780552321</v>
      </c>
      <c r="AA12" s="149">
        <v>1541.9482833212292</v>
      </c>
      <c r="AB12" s="149">
        <v>1573.4090000000001</v>
      </c>
      <c r="AC12" s="149">
        <v>1492.418422</v>
      </c>
      <c r="AD12" s="149">
        <v>1592.1897899999999</v>
      </c>
      <c r="AE12" s="149">
        <v>1736</v>
      </c>
      <c r="AF12" s="149">
        <v>1732.873049759</v>
      </c>
      <c r="AG12" s="189">
        <v>1706.4336673559999</v>
      </c>
      <c r="AH12" s="189">
        <v>1735.752988406</v>
      </c>
      <c r="AI12" s="189">
        <v>1836.2943763809999</v>
      </c>
      <c r="AJ12" s="189">
        <v>1888.6207892510001</v>
      </c>
      <c r="AK12" s="189">
        <v>1707.3468317219999</v>
      </c>
      <c r="AL12" s="189">
        <v>1664.834742816</v>
      </c>
      <c r="AM12" s="189">
        <v>1657.2472537999997</v>
      </c>
      <c r="AN12" s="189">
        <v>1660.6383312630001</v>
      </c>
      <c r="AO12" s="189">
        <v>2400.1376780690171</v>
      </c>
      <c r="AP12" s="189">
        <v>2393.3265578167207</v>
      </c>
      <c r="AQ12" s="189">
        <v>2322.5894881851978</v>
      </c>
      <c r="AR12" s="189">
        <v>2353.6511074476302</v>
      </c>
      <c r="AS12" s="189">
        <v>2437.9651715052864</v>
      </c>
      <c r="AT12" s="189">
        <v>2324.8149741464308</v>
      </c>
      <c r="AU12" s="189">
        <v>2278.8760803244145</v>
      </c>
      <c r="AV12" s="189">
        <v>2302.6114499313521</v>
      </c>
      <c r="AW12" s="189">
        <v>2368.2661019748466</v>
      </c>
      <c r="AX12" s="189">
        <v>2248.4588166209942</v>
      </c>
      <c r="AY12" s="189">
        <v>2275.5972269822287</v>
      </c>
      <c r="AZ12" s="189">
        <v>2439.1982225221409</v>
      </c>
      <c r="BA12" s="189">
        <v>2407.3159012846281</v>
      </c>
      <c r="BB12" s="189">
        <v>2497.9574639930729</v>
      </c>
      <c r="BC12" s="189">
        <v>2328.8309962062262</v>
      </c>
      <c r="BD12" s="189">
        <v>2195.3482032613856</v>
      </c>
    </row>
    <row r="13" spans="1:57">
      <c r="A13" s="51">
        <f t="shared" si="0"/>
        <v>8</v>
      </c>
      <c r="B13" s="5" t="s">
        <v>143</v>
      </c>
      <c r="C13" s="52">
        <f>HLOOKUP($C$6,$H$6:$BE$29,$G13,FALSE)</f>
        <v>114.27992236166688</v>
      </c>
      <c r="D13" s="52">
        <f>HLOOKUP($D$6,$H$6:$BE$29,$G13,FALSE)</f>
        <v>17.468301357079326</v>
      </c>
      <c r="E13" s="42" t="s">
        <v>144</v>
      </c>
      <c r="G13" s="51">
        <f t="shared" si="1"/>
        <v>8</v>
      </c>
      <c r="H13" s="5" t="s">
        <v>143</v>
      </c>
      <c r="I13" s="149">
        <v>218.96751644732302</v>
      </c>
      <c r="J13" s="149">
        <v>424.53248355267698</v>
      </c>
      <c r="K13" s="149">
        <v>147</v>
      </c>
      <c r="L13" s="151">
        <v>0</v>
      </c>
      <c r="M13" s="149">
        <v>327</v>
      </c>
      <c r="N13" s="149">
        <v>484</v>
      </c>
      <c r="O13" s="149">
        <v>455.71628899999996</v>
      </c>
      <c r="P13" s="149">
        <v>177.76116454564578</v>
      </c>
      <c r="Q13" s="149">
        <v>402.79276660438609</v>
      </c>
      <c r="R13" s="149">
        <v>512.70931975909969</v>
      </c>
      <c r="S13" s="151">
        <v>0</v>
      </c>
      <c r="T13" s="151">
        <v>0</v>
      </c>
      <c r="U13" s="149">
        <v>355.57419945754248</v>
      </c>
      <c r="V13" s="149">
        <v>476.44857716393153</v>
      </c>
      <c r="W13" s="149">
        <v>215.8</v>
      </c>
      <c r="X13" s="149">
        <v>345.10789999999997</v>
      </c>
      <c r="Y13" s="149">
        <v>524.51625259600632</v>
      </c>
      <c r="Z13" s="149">
        <v>517.42100000000005</v>
      </c>
      <c r="AA13" s="149">
        <v>114.16722837205532</v>
      </c>
      <c r="AB13" s="149">
        <v>156.47899999999998</v>
      </c>
      <c r="AC13" s="149">
        <v>679.59258450063749</v>
      </c>
      <c r="AD13" s="149">
        <v>565.63741879474242</v>
      </c>
      <c r="AE13" s="149">
        <v>31</v>
      </c>
      <c r="AF13" s="152">
        <v>0</v>
      </c>
      <c r="AG13" s="189">
        <v>399.97817196043991</v>
      </c>
      <c r="AH13" s="189">
        <v>500.52412506537814</v>
      </c>
      <c r="AI13" s="189">
        <v>789.41849508749317</v>
      </c>
      <c r="AJ13" s="189">
        <v>35.209573908457287</v>
      </c>
      <c r="AK13" s="189">
        <v>87.296860983128909</v>
      </c>
      <c r="AL13" s="189">
        <v>621.59086649847029</v>
      </c>
      <c r="AM13" s="189">
        <v>253.63679747067806</v>
      </c>
      <c r="AN13" s="189">
        <v>179.794145812848</v>
      </c>
      <c r="AO13" s="189">
        <v>239.91037121077659</v>
      </c>
      <c r="AP13" s="189">
        <v>535.4789254188147</v>
      </c>
      <c r="AQ13" s="189">
        <v>230.51842516097702</v>
      </c>
      <c r="AR13" s="189">
        <v>448.44301984515789</v>
      </c>
      <c r="AS13" s="189">
        <v>304.45764578247338</v>
      </c>
      <c r="AT13" s="189">
        <v>460.25699149522723</v>
      </c>
      <c r="AU13" s="189">
        <v>249.75240306943329</v>
      </c>
      <c r="AV13" s="189">
        <v>35.158745306949982</v>
      </c>
      <c r="AW13" s="189">
        <v>538.82338362416829</v>
      </c>
      <c r="AX13" s="189">
        <v>674.42645749625297</v>
      </c>
      <c r="AY13" s="189">
        <v>307.04021532602269</v>
      </c>
      <c r="AZ13" s="189">
        <v>114.27992236166688</v>
      </c>
      <c r="BA13" s="189">
        <v>0</v>
      </c>
      <c r="BB13" s="189">
        <v>0</v>
      </c>
      <c r="BC13" s="189">
        <v>0</v>
      </c>
      <c r="BD13" s="189">
        <v>17.468301357079326</v>
      </c>
    </row>
    <row r="14" spans="1:57" ht="5.25" customHeight="1">
      <c r="A14" s="51">
        <f t="shared" si="0"/>
        <v>9</v>
      </c>
      <c r="C14" s="70"/>
      <c r="D14" s="70"/>
      <c r="E14" s="70"/>
      <c r="G14" s="51">
        <f t="shared" si="1"/>
        <v>9</v>
      </c>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row>
    <row r="15" spans="1:57">
      <c r="A15" s="51">
        <f t="shared" si="0"/>
        <v>10</v>
      </c>
      <c r="B15" s="5" t="s">
        <v>145</v>
      </c>
      <c r="C15" s="21">
        <f>HLOOKUP($C$6,$H$6:$BE$29,$G15,FALSE)</f>
        <v>1289.6283201947092</v>
      </c>
      <c r="D15" s="21">
        <f>HLOOKUP($D$6,$H$6:$BE$29,$G15,FALSE)</f>
        <v>1483.902182169056</v>
      </c>
      <c r="E15" s="42">
        <f>+D15/C15-1</f>
        <v>0.150643296934589</v>
      </c>
      <c r="G15" s="51">
        <f t="shared" si="1"/>
        <v>10</v>
      </c>
      <c r="H15" s="5" t="s">
        <v>145</v>
      </c>
      <c r="I15" s="149">
        <v>1750</v>
      </c>
      <c r="J15" s="149">
        <v>1676.5379</v>
      </c>
      <c r="K15" s="149">
        <v>1717</v>
      </c>
      <c r="L15" s="149">
        <v>1658.537353248</v>
      </c>
      <c r="M15" s="149">
        <v>1593</v>
      </c>
      <c r="N15" s="149">
        <v>1584.2553333333301</v>
      </c>
      <c r="O15" s="149">
        <v>1585</v>
      </c>
      <c r="P15" s="149">
        <v>1509.0192104540001</v>
      </c>
      <c r="Q15" s="149">
        <v>1516.2572692093333</v>
      </c>
      <c r="R15" s="149">
        <v>1586.312932267</v>
      </c>
      <c r="S15" s="149">
        <v>1611</v>
      </c>
      <c r="T15" s="149">
        <v>1605.0969330646667</v>
      </c>
      <c r="U15" s="149">
        <v>1608.011451372</v>
      </c>
      <c r="V15" s="149">
        <v>1580.915037662</v>
      </c>
      <c r="W15" s="149">
        <v>1615</v>
      </c>
      <c r="X15" s="149">
        <v>1629.6032617540002</v>
      </c>
      <c r="Y15" s="149">
        <v>1632.7914912306667</v>
      </c>
      <c r="Z15" s="149">
        <v>1609.7</v>
      </c>
      <c r="AA15" s="149">
        <v>1656.6028448940003</v>
      </c>
      <c r="AB15" s="149">
        <v>1663.0676706436664</v>
      </c>
      <c r="AC15" s="149">
        <v>1664</v>
      </c>
      <c r="AD15" s="149">
        <v>1574.1138055772778</v>
      </c>
      <c r="AE15" s="149">
        <v>1578.1126254887251</v>
      </c>
      <c r="AF15" s="149">
        <v>1558</v>
      </c>
      <c r="AG15" s="189">
        <v>1389.7428849012299</v>
      </c>
      <c r="AH15" s="189">
        <v>1439.51958987635</v>
      </c>
      <c r="AI15" s="189">
        <v>1486.0694283366595</v>
      </c>
      <c r="AJ15" s="189">
        <v>1469.0334855196272</v>
      </c>
      <c r="AK15" s="189">
        <v>1323.09635874524</v>
      </c>
      <c r="AL15" s="189">
        <v>1323.2185192444899</v>
      </c>
      <c r="AM15" s="189">
        <v>1286.3544123736108</v>
      </c>
      <c r="AN15" s="189">
        <v>1278.6488390333336</v>
      </c>
      <c r="AO15" s="189">
        <v>1463.4840641741039</v>
      </c>
      <c r="AP15" s="189">
        <v>1551.5266405666669</v>
      </c>
      <c r="AQ15" s="189">
        <v>1626.2785669833331</v>
      </c>
      <c r="AR15" s="189">
        <v>1550.5775907120942</v>
      </c>
      <c r="AS15" s="189">
        <v>1628.6184444444445</v>
      </c>
      <c r="AT15" s="189">
        <v>1622.8204694444448</v>
      </c>
      <c r="AU15" s="189">
        <v>1625.0711021111099</v>
      </c>
      <c r="AV15" s="189">
        <v>1625.9696393333334</v>
      </c>
      <c r="AW15" s="189">
        <v>1248.5285920308143</v>
      </c>
      <c r="AX15" s="189">
        <v>1259.1667338582445</v>
      </c>
      <c r="AY15" s="189">
        <v>1218.4998512401871</v>
      </c>
      <c r="AZ15" s="189">
        <v>1289.6283201947092</v>
      </c>
      <c r="BA15" s="189">
        <v>1487.9161139521555</v>
      </c>
      <c r="BB15" s="189">
        <v>1486.3707852854889</v>
      </c>
      <c r="BC15" s="189">
        <v>1483.8414639151185</v>
      </c>
      <c r="BD15" s="189">
        <v>1483.902182169056</v>
      </c>
    </row>
    <row r="16" spans="1:57" ht="10.5" customHeight="1">
      <c r="A16" s="51">
        <f t="shared" si="0"/>
        <v>11</v>
      </c>
      <c r="C16" s="70"/>
      <c r="D16" s="70"/>
      <c r="E16" s="70"/>
      <c r="G16" s="51">
        <f t="shared" si="1"/>
        <v>11</v>
      </c>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8"/>
      <c r="BD16" s="188"/>
    </row>
    <row r="17" spans="1:57">
      <c r="A17" s="51">
        <f t="shared" si="0"/>
        <v>12</v>
      </c>
      <c r="B17" s="6" t="s">
        <v>146</v>
      </c>
      <c r="C17" s="97">
        <f>HLOOKUP($C$6,$H$6:$BE$29,$G17,FALSE)</f>
        <v>2805.4938310497323</v>
      </c>
      <c r="D17" s="97">
        <f>HLOOKUP($D$6,$H$6:$BE$29,$G17,FALSE)</f>
        <v>2472.4370852186034</v>
      </c>
      <c r="E17" s="60">
        <f>D17/C17-1</f>
        <v>-0.11871590739036086</v>
      </c>
      <c r="G17" s="51">
        <f t="shared" si="1"/>
        <v>12</v>
      </c>
      <c r="H17" s="6" t="s">
        <v>146</v>
      </c>
      <c r="I17" s="148">
        <f>+I19+I20+I24</f>
        <v>3267.9317000000001</v>
      </c>
      <c r="J17" s="148">
        <f t="shared" ref="J17:Y17" si="10">+J19+J20+J24</f>
        <v>3498.9682999999995</v>
      </c>
      <c r="K17" s="148">
        <f t="shared" si="10"/>
        <v>3240</v>
      </c>
      <c r="L17" s="148">
        <f t="shared" si="10"/>
        <v>2855.1034</v>
      </c>
      <c r="M17" s="148">
        <f t="shared" si="10"/>
        <v>3195.3278</v>
      </c>
      <c r="N17" s="148">
        <f t="shared" si="10"/>
        <v>3388.34238</v>
      </c>
      <c r="O17" s="148">
        <f t="shared" si="10"/>
        <v>3270.1603</v>
      </c>
      <c r="P17" s="148">
        <f t="shared" si="10"/>
        <v>2792.3428942799992</v>
      </c>
      <c r="Q17" s="148">
        <f t="shared" si="10"/>
        <v>3221.5743400000001</v>
      </c>
      <c r="R17" s="148">
        <f t="shared" si="10"/>
        <v>3312.9959699999995</v>
      </c>
      <c r="S17" s="148">
        <f t="shared" si="10"/>
        <v>2412</v>
      </c>
      <c r="T17" s="148">
        <f t="shared" si="10"/>
        <v>2329.3105321120001</v>
      </c>
      <c r="U17" s="148">
        <f>+U19+U20+U24</f>
        <v>3191.2302385571666</v>
      </c>
      <c r="V17" s="148">
        <f t="shared" si="10"/>
        <v>3386.4810116580002</v>
      </c>
      <c r="W17" s="148">
        <f t="shared" si="10"/>
        <v>3058.0208900000002</v>
      </c>
      <c r="X17" s="148">
        <f t="shared" si="10"/>
        <v>3079.87891455</v>
      </c>
      <c r="Y17" s="148">
        <f t="shared" si="10"/>
        <v>3455.3460179723684</v>
      </c>
      <c r="Z17" s="148">
        <f t="shared" ref="Z17:AD17" si="11">+Z19+Z20+Z24</f>
        <v>3514.8398608767438</v>
      </c>
      <c r="AA17" s="148">
        <f t="shared" si="11"/>
        <v>3026.0395302917295</v>
      </c>
      <c r="AB17" s="148">
        <f t="shared" si="11"/>
        <v>3009.206121845772</v>
      </c>
      <c r="AC17" s="148">
        <f t="shared" si="11"/>
        <v>3334.4824444330111</v>
      </c>
      <c r="AD17" s="148">
        <f t="shared" si="11"/>
        <v>3334.3651071043373</v>
      </c>
      <c r="AE17" s="148">
        <f t="shared" ref="AE17:AO17" si="12">+AE19+AE20+AE24</f>
        <v>2589.5097437221884</v>
      </c>
      <c r="AF17" s="148">
        <f t="shared" si="12"/>
        <v>2668.8125995100431</v>
      </c>
      <c r="AG17" s="186">
        <f t="shared" si="12"/>
        <v>2984.4361867917678</v>
      </c>
      <c r="AH17" s="186">
        <f t="shared" si="12"/>
        <v>3113.9792090261044</v>
      </c>
      <c r="AI17" s="186">
        <f t="shared" si="12"/>
        <v>3546.1705021388707</v>
      </c>
      <c r="AJ17" s="186">
        <f t="shared" si="12"/>
        <v>2458.4844822617697</v>
      </c>
      <c r="AK17" s="186">
        <f t="shared" si="12"/>
        <v>2427.5366890469759</v>
      </c>
      <c r="AL17" s="186">
        <f t="shared" si="12"/>
        <v>3178.2279143636388</v>
      </c>
      <c r="AM17" s="186">
        <f t="shared" si="12"/>
        <v>2848.5002574529099</v>
      </c>
      <c r="AN17" s="186">
        <f t="shared" si="12"/>
        <v>2539.9450362503558</v>
      </c>
      <c r="AO17" s="186">
        <f t="shared" si="12"/>
        <v>3250.2045634470992</v>
      </c>
      <c r="AP17" s="186">
        <f>+AP19+AP20+AP24</f>
        <v>3622.6417945302269</v>
      </c>
      <c r="AQ17" s="186">
        <v>3245.4704948692488</v>
      </c>
      <c r="AR17" s="186">
        <f>+AR19+AR20+AR24</f>
        <v>3451.635545530441</v>
      </c>
      <c r="AS17" s="186">
        <v>3445.2580091795307</v>
      </c>
      <c r="AT17" s="186">
        <v>3514</v>
      </c>
      <c r="AU17" s="186">
        <v>3236.9239240970542</v>
      </c>
      <c r="AV17" s="186">
        <f>+AV19+AV20+AV24</f>
        <v>2779.3657215288804</v>
      </c>
      <c r="AW17" s="186">
        <f>+AW19+AW20+AW24</f>
        <v>3223.6401213265531</v>
      </c>
      <c r="AX17" s="186">
        <f>+AX19+AX20+AX24</f>
        <v>3254.4976768577981</v>
      </c>
      <c r="AY17" s="186">
        <f>+AY19+AY20+AY24</f>
        <v>2828.4008993058446</v>
      </c>
      <c r="AZ17" s="186">
        <f>+AZ19+AZ20+AZ24</f>
        <v>2805.4938310497323</v>
      </c>
      <c r="BA17" s="186">
        <f t="shared" ref="BA17:BB17" si="13">+BA19+BA20+BA24</f>
        <v>2628.3103825618482</v>
      </c>
      <c r="BB17" s="186">
        <f t="shared" si="13"/>
        <v>2756.1687536411173</v>
      </c>
      <c r="BC17" s="186">
        <f>+BC19+BC20+BC24</f>
        <v>2312.766865217387</v>
      </c>
      <c r="BD17" s="186">
        <f>+BD19+BD20+BD24</f>
        <v>2472.4370852186034</v>
      </c>
      <c r="BE17" s="22"/>
    </row>
    <row r="18" spans="1:57" ht="5.25" customHeight="1">
      <c r="A18" s="51">
        <f t="shared" si="0"/>
        <v>13</v>
      </c>
      <c r="C18" s="70"/>
      <c r="D18" s="70"/>
      <c r="E18" s="70"/>
      <c r="G18" s="51">
        <f t="shared" si="1"/>
        <v>13</v>
      </c>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row>
    <row r="19" spans="1:57">
      <c r="A19" s="51">
        <f t="shared" si="0"/>
        <v>14</v>
      </c>
      <c r="B19" s="24" t="s">
        <v>147</v>
      </c>
      <c r="C19" s="25">
        <f t="shared" ref="C19:C27" si="14">HLOOKUP($C$6,$H$6:$BE$29,$G19,FALSE)</f>
        <v>2098.0591000000004</v>
      </c>
      <c r="D19" s="25">
        <f t="shared" ref="D19:D27" si="15">HLOOKUP($D$6,$H$6:$BE$29,$G19,FALSE)</f>
        <v>1299.8103900000001</v>
      </c>
      <c r="E19" s="83">
        <f>+D19/C19-1</f>
        <v>-0.38047007827377222</v>
      </c>
      <c r="G19" s="51">
        <f t="shared" si="1"/>
        <v>14</v>
      </c>
      <c r="H19" s="24" t="s">
        <v>147</v>
      </c>
      <c r="I19" s="153">
        <v>1108.7977000000001</v>
      </c>
      <c r="J19" s="153">
        <v>1620.9022999999997</v>
      </c>
      <c r="K19" s="153">
        <v>1816</v>
      </c>
      <c r="L19" s="153">
        <v>2109.0504000000001</v>
      </c>
      <c r="M19" s="153">
        <v>1097.7067999999999</v>
      </c>
      <c r="N19" s="153">
        <v>1357.50828</v>
      </c>
      <c r="O19" s="153">
        <v>1723.634</v>
      </c>
      <c r="P19" s="153">
        <v>2285.4995499999995</v>
      </c>
      <c r="Q19" s="153">
        <v>1287.5566399999998</v>
      </c>
      <c r="R19" s="153">
        <v>1338.0191999999997</v>
      </c>
      <c r="S19" s="153">
        <v>988</v>
      </c>
      <c r="T19" s="153">
        <v>1153.0769</v>
      </c>
      <c r="U19" s="153">
        <v>1089.2442348041668</v>
      </c>
      <c r="V19" s="153">
        <v>1248.1063999999999</v>
      </c>
      <c r="W19" s="153">
        <v>1403.1208899999999</v>
      </c>
      <c r="X19" s="153">
        <v>2156.30267</v>
      </c>
      <c r="Y19" s="153">
        <v>1409.2049400000001</v>
      </c>
      <c r="Z19" s="153">
        <v>1433.3703999999998</v>
      </c>
      <c r="AA19" s="153">
        <v>1348.5269000000001</v>
      </c>
      <c r="AB19" s="153">
        <v>2120.86</v>
      </c>
      <c r="AC19" s="153">
        <v>1194.2386000000001</v>
      </c>
      <c r="AD19" s="153">
        <v>1371.5127</v>
      </c>
      <c r="AE19" s="153">
        <v>1316.77403</v>
      </c>
      <c r="AF19" s="153">
        <v>1236.0530999999996</v>
      </c>
      <c r="AG19" s="191">
        <v>1119.644</v>
      </c>
      <c r="AH19" s="191">
        <v>981.54162999999994</v>
      </c>
      <c r="AI19" s="191">
        <v>1529.7404300000001</v>
      </c>
      <c r="AJ19" s="191">
        <v>1965.3616099999999</v>
      </c>
      <c r="AK19" s="191">
        <v>887.18420000000015</v>
      </c>
      <c r="AL19" s="191">
        <v>1155.0339199999999</v>
      </c>
      <c r="AM19" s="191">
        <v>899.10449999999992</v>
      </c>
      <c r="AN19" s="191">
        <v>963.90317000000005</v>
      </c>
      <c r="AO19" s="191">
        <v>804.20897000000002</v>
      </c>
      <c r="AP19" s="191">
        <v>1001.4244000000001</v>
      </c>
      <c r="AQ19" s="191">
        <v>1654.1555000000001</v>
      </c>
      <c r="AR19" s="191">
        <v>1703.0052000000001</v>
      </c>
      <c r="AS19" s="191">
        <v>955.55370000000016</v>
      </c>
      <c r="AT19" s="191">
        <v>1140.1519600000001</v>
      </c>
      <c r="AU19" s="191">
        <v>2427.6502</v>
      </c>
      <c r="AV19" s="191">
        <v>2349.1103000000003</v>
      </c>
      <c r="AW19" s="191">
        <v>1623.745609999999</v>
      </c>
      <c r="AX19" s="191">
        <v>1638.5916000000002</v>
      </c>
      <c r="AY19" s="191">
        <v>1915.1092399999989</v>
      </c>
      <c r="AZ19" s="191">
        <v>2098.0591000000004</v>
      </c>
      <c r="BA19" s="191">
        <v>1088.1048999999994</v>
      </c>
      <c r="BB19" s="191">
        <v>1373.7098999999998</v>
      </c>
      <c r="BC19" s="191">
        <v>1174.0207399999999</v>
      </c>
      <c r="BD19" s="191">
        <v>1299.8103900000001</v>
      </c>
    </row>
    <row r="20" spans="1:57">
      <c r="A20" s="51">
        <f t="shared" si="0"/>
        <v>15</v>
      </c>
      <c r="B20" s="24" t="s">
        <v>31</v>
      </c>
      <c r="C20" s="25">
        <f t="shared" si="14"/>
        <v>263.23740000000021</v>
      </c>
      <c r="D20" s="25">
        <f t="shared" si="15"/>
        <v>483.57238999999981</v>
      </c>
      <c r="E20" s="83">
        <f>+D20/C20-1</f>
        <v>0.83702008149297713</v>
      </c>
      <c r="G20" s="51">
        <f t="shared" si="1"/>
        <v>15</v>
      </c>
      <c r="H20" s="24" t="s">
        <v>31</v>
      </c>
      <c r="I20" s="153">
        <f t="shared" ref="I20:BC20" si="16">SUM(I21:I23)</f>
        <v>2159.134</v>
      </c>
      <c r="J20" s="153">
        <f t="shared" si="16"/>
        <v>1878.0659999999998</v>
      </c>
      <c r="K20" s="153">
        <f t="shared" si="16"/>
        <v>1424</v>
      </c>
      <c r="L20" s="153">
        <f t="shared" si="16"/>
        <v>719.053</v>
      </c>
      <c r="M20" s="153">
        <f t="shared" si="16"/>
        <v>2079.7550000000001</v>
      </c>
      <c r="N20" s="153">
        <f t="shared" si="16"/>
        <v>2003.309</v>
      </c>
      <c r="O20" s="153">
        <f t="shared" si="16"/>
        <v>1519.4349999999999</v>
      </c>
      <c r="P20" s="153">
        <f t="shared" si="16"/>
        <v>467.988</v>
      </c>
      <c r="Q20" s="153">
        <f t="shared" si="16"/>
        <v>1915.18</v>
      </c>
      <c r="R20" s="153">
        <f t="shared" si="16"/>
        <v>1956.502</v>
      </c>
      <c r="S20" s="153">
        <f t="shared" si="16"/>
        <v>1396</v>
      </c>
      <c r="T20" s="153">
        <f t="shared" si="16"/>
        <v>1146.3820000000001</v>
      </c>
      <c r="U20" s="153">
        <f t="shared" si="16"/>
        <v>2080.1379999999999</v>
      </c>
      <c r="V20" s="153">
        <f t="shared" si="16"/>
        <v>2109.0740000000001</v>
      </c>
      <c r="W20" s="153">
        <f t="shared" si="16"/>
        <v>1625.5</v>
      </c>
      <c r="X20" s="153">
        <f t="shared" si="16"/>
        <v>887.74</v>
      </c>
      <c r="Y20" s="153">
        <f t="shared" si="16"/>
        <v>2019.9259999999999</v>
      </c>
      <c r="Z20" s="153">
        <f t="shared" si="16"/>
        <v>2052.0571999999997</v>
      </c>
      <c r="AA20" s="153">
        <f t="shared" si="16"/>
        <v>1640.9929999999999</v>
      </c>
      <c r="AB20" s="153">
        <f t="shared" si="16"/>
        <v>844.64</v>
      </c>
      <c r="AC20" s="153">
        <f t="shared" si="16"/>
        <v>2113.667219685</v>
      </c>
      <c r="AD20" s="153">
        <f t="shared" si="16"/>
        <v>1902.7019399999999</v>
      </c>
      <c r="AE20" s="153">
        <f t="shared" si="16"/>
        <v>1164.2910000000002</v>
      </c>
      <c r="AF20" s="153">
        <f t="shared" si="16"/>
        <v>1327.2567999999999</v>
      </c>
      <c r="AG20" s="191">
        <f t="shared" si="16"/>
        <v>1838.4737999999998</v>
      </c>
      <c r="AH20" s="191">
        <f t="shared" si="16"/>
        <v>2108.0429999999997</v>
      </c>
      <c r="AI20" s="191">
        <f t="shared" si="16"/>
        <v>1977.8985600000001</v>
      </c>
      <c r="AJ20" s="191">
        <f t="shared" si="16"/>
        <v>450.48900000000003</v>
      </c>
      <c r="AK20" s="191">
        <f t="shared" si="16"/>
        <v>1512.6569999999999</v>
      </c>
      <c r="AL20" s="191">
        <f t="shared" si="16"/>
        <v>1997.664</v>
      </c>
      <c r="AM20" s="191">
        <f t="shared" si="16"/>
        <v>1861.0379999999996</v>
      </c>
      <c r="AN20" s="191">
        <f t="shared" si="16"/>
        <v>1409.5749999999998</v>
      </c>
      <c r="AO20" s="191">
        <f t="shared" si="16"/>
        <v>2194.5060000000003</v>
      </c>
      <c r="AP20" s="191">
        <f t="shared" si="16"/>
        <v>2370.7759999999998</v>
      </c>
      <c r="AQ20" s="191">
        <f t="shared" si="16"/>
        <v>1420.4859999999999</v>
      </c>
      <c r="AR20" s="191">
        <f t="shared" si="16"/>
        <v>1550.095</v>
      </c>
      <c r="AS20" s="191">
        <f t="shared" si="16"/>
        <v>2274.0099999999998</v>
      </c>
      <c r="AT20" s="191">
        <v>2204.2422000000001</v>
      </c>
      <c r="AU20" s="191">
        <f t="shared" si="16"/>
        <v>655.7940000000001</v>
      </c>
      <c r="AV20" s="191">
        <f t="shared" si="16"/>
        <v>237.23599999999999</v>
      </c>
      <c r="AW20" s="191">
        <f t="shared" si="16"/>
        <v>1398.4670000000001</v>
      </c>
      <c r="AX20" s="191">
        <f t="shared" si="16"/>
        <v>1439.8980000000001</v>
      </c>
      <c r="AY20" s="191">
        <f t="shared" si="16"/>
        <v>677.14010000000007</v>
      </c>
      <c r="AZ20" s="191">
        <f t="shared" si="16"/>
        <v>263.23740000000021</v>
      </c>
      <c r="BA20" s="191">
        <f t="shared" si="16"/>
        <v>1086.9077999999997</v>
      </c>
      <c r="BB20" s="191">
        <f t="shared" si="16"/>
        <v>864.55800000000022</v>
      </c>
      <c r="BC20" s="191">
        <f t="shared" si="16"/>
        <v>519.54029999999977</v>
      </c>
      <c r="BD20" s="191">
        <v>483.57238999999981</v>
      </c>
    </row>
    <row r="21" spans="1:57">
      <c r="A21" s="51">
        <f t="shared" si="0"/>
        <v>16</v>
      </c>
      <c r="B21" s="5" t="s">
        <v>148</v>
      </c>
      <c r="C21" s="21">
        <f t="shared" si="14"/>
        <v>244.05840000000018</v>
      </c>
      <c r="D21" s="21">
        <f t="shared" si="15"/>
        <v>452.79799999999983</v>
      </c>
      <c r="E21" s="42">
        <f>+D21/C21-1</f>
        <v>0.85528545626784203</v>
      </c>
      <c r="G21" s="51">
        <f t="shared" si="1"/>
        <v>16</v>
      </c>
      <c r="H21" s="5" t="s">
        <v>148</v>
      </c>
      <c r="I21" s="149">
        <v>1357.1130000000001</v>
      </c>
      <c r="J21" s="149">
        <v>929.08699999999976</v>
      </c>
      <c r="K21" s="149">
        <v>536</v>
      </c>
      <c r="L21" s="149">
        <v>188.97200000000001</v>
      </c>
      <c r="M21" s="149">
        <v>1146.7660000000001</v>
      </c>
      <c r="N21" s="149">
        <v>1201.8629999999998</v>
      </c>
      <c r="O21" s="149">
        <v>868.34900000000005</v>
      </c>
      <c r="P21" s="149">
        <v>204.482</v>
      </c>
      <c r="Q21" s="149">
        <v>1212.1610000000001</v>
      </c>
      <c r="R21" s="149">
        <v>1027.8029999999999</v>
      </c>
      <c r="S21" s="149">
        <v>559</v>
      </c>
      <c r="T21" s="149">
        <v>795.11400000000003</v>
      </c>
      <c r="U21" s="149">
        <v>1300.9190000000001</v>
      </c>
      <c r="V21" s="149">
        <v>1248.1420000000001</v>
      </c>
      <c r="W21" s="149">
        <v>846.3</v>
      </c>
      <c r="X21" s="149">
        <v>495.12900000000002</v>
      </c>
      <c r="Y21" s="149">
        <v>1268.5309999999999</v>
      </c>
      <c r="Z21" s="149">
        <v>1341.1381999999999</v>
      </c>
      <c r="AA21" s="149">
        <v>914.07899999999995</v>
      </c>
      <c r="AB21" s="149">
        <v>335.71</v>
      </c>
      <c r="AC21" s="149">
        <v>1362.9110000000001</v>
      </c>
      <c r="AD21" s="149">
        <v>1199.1079999999999</v>
      </c>
      <c r="AE21" s="149">
        <v>965.79200000000014</v>
      </c>
      <c r="AF21" s="149">
        <v>979.50349999999992</v>
      </c>
      <c r="AG21" s="189">
        <v>1190.3717999999999</v>
      </c>
      <c r="AH21" s="189">
        <v>1425.2629999999999</v>
      </c>
      <c r="AI21" s="189">
        <v>1429.42956</v>
      </c>
      <c r="AJ21" s="189">
        <v>62.475000000000001</v>
      </c>
      <c r="AK21" s="189">
        <v>722.05399999999997</v>
      </c>
      <c r="AL21" s="189">
        <v>1206.932</v>
      </c>
      <c r="AM21" s="189">
        <v>1039.9879999999998</v>
      </c>
      <c r="AN21" s="189">
        <v>997.404</v>
      </c>
      <c r="AO21" s="189">
        <v>1526.4650000000001</v>
      </c>
      <c r="AP21" s="189">
        <v>1564.117</v>
      </c>
      <c r="AQ21" s="189">
        <v>680.93499999999995</v>
      </c>
      <c r="AR21" s="189">
        <v>1195.625</v>
      </c>
      <c r="AS21" s="189">
        <v>1640.5029999999999</v>
      </c>
      <c r="AT21" s="189">
        <v>1531.431</v>
      </c>
      <c r="AU21" s="189">
        <v>434.07300000000004</v>
      </c>
      <c r="AV21" s="189">
        <v>148.13200000000001</v>
      </c>
      <c r="AW21" s="189">
        <v>831.46400000000017</v>
      </c>
      <c r="AX21" s="189">
        <v>1106.5290000000002</v>
      </c>
      <c r="AY21" s="189">
        <v>334.56610000000001</v>
      </c>
      <c r="AZ21" s="189">
        <v>244.05840000000018</v>
      </c>
      <c r="BA21" s="189">
        <v>942.16939999999977</v>
      </c>
      <c r="BB21" s="189">
        <v>821.34500000000025</v>
      </c>
      <c r="BC21" s="189">
        <v>512.66662999999983</v>
      </c>
      <c r="BD21" s="189">
        <v>452.79799999999983</v>
      </c>
    </row>
    <row r="22" spans="1:57">
      <c r="A22" s="51">
        <f t="shared" si="0"/>
        <v>17</v>
      </c>
      <c r="B22" s="5" t="s">
        <v>149</v>
      </c>
      <c r="C22" s="21">
        <f t="shared" si="14"/>
        <v>2.77</v>
      </c>
      <c r="D22" s="21">
        <f t="shared" si="15"/>
        <v>3.2120199999999999</v>
      </c>
      <c r="E22" s="42">
        <f t="shared" ref="E22:E26" si="17">+D22/C22-1</f>
        <v>0.15957400722021653</v>
      </c>
      <c r="G22" s="51">
        <f t="shared" si="1"/>
        <v>17</v>
      </c>
      <c r="H22" s="5" t="s">
        <v>149</v>
      </c>
      <c r="I22" s="149">
        <v>96.025000000000006</v>
      </c>
      <c r="J22" s="149">
        <v>231.07500000000002</v>
      </c>
      <c r="K22" s="149">
        <v>216</v>
      </c>
      <c r="L22" s="149">
        <v>2.7489999999999997</v>
      </c>
      <c r="M22" s="149">
        <v>141.345</v>
      </c>
      <c r="N22" s="149">
        <v>101.99799999999999</v>
      </c>
      <c r="O22" s="149">
        <v>0.33800000000000002</v>
      </c>
      <c r="P22" s="149">
        <v>0.50900000000000001</v>
      </c>
      <c r="Q22" s="149">
        <v>3.5060000000000002</v>
      </c>
      <c r="R22" s="149">
        <v>204.721</v>
      </c>
      <c r="S22" s="149">
        <v>94</v>
      </c>
      <c r="T22" s="149">
        <v>12.699</v>
      </c>
      <c r="U22" s="149">
        <v>43.264000000000003</v>
      </c>
      <c r="V22" s="149">
        <v>122.758</v>
      </c>
      <c r="W22" s="149">
        <v>32.299999999999997</v>
      </c>
      <c r="X22" s="149">
        <v>7.6610000000000005</v>
      </c>
      <c r="Y22" s="149">
        <v>14.943999999999999</v>
      </c>
      <c r="Z22" s="149">
        <v>28.54</v>
      </c>
      <c r="AA22" s="149">
        <v>21.773</v>
      </c>
      <c r="AB22" s="149">
        <v>13.209999999999999</v>
      </c>
      <c r="AC22" s="149">
        <v>51.590219684999994</v>
      </c>
      <c r="AD22" s="149">
        <v>12.888939999999998</v>
      </c>
      <c r="AE22" s="149">
        <v>5.3000000000000005E-2</v>
      </c>
      <c r="AF22" s="149">
        <v>2.0883000000000003</v>
      </c>
      <c r="AG22" s="189">
        <v>31.466000000000001</v>
      </c>
      <c r="AH22" s="189">
        <v>31.5</v>
      </c>
      <c r="AI22" s="189">
        <v>3.4470000000000001</v>
      </c>
      <c r="AJ22" s="189">
        <v>5.99</v>
      </c>
      <c r="AK22" s="189">
        <v>118.843</v>
      </c>
      <c r="AL22" s="189">
        <v>45.290000000000006</v>
      </c>
      <c r="AM22" s="189">
        <v>101.78299999999999</v>
      </c>
      <c r="AN22" s="189">
        <v>28.376999999999999</v>
      </c>
      <c r="AO22" s="189">
        <v>29.93</v>
      </c>
      <c r="AP22" s="189">
        <v>153.40800000000002</v>
      </c>
      <c r="AQ22" s="189">
        <v>22.573999999999998</v>
      </c>
      <c r="AR22" s="189">
        <v>10.247</v>
      </c>
      <c r="AS22" s="189">
        <v>22.802</v>
      </c>
      <c r="AT22" s="189">
        <v>38.566200000000002</v>
      </c>
      <c r="AU22" s="189">
        <v>0.505</v>
      </c>
      <c r="AV22" s="189">
        <v>2.0099999999999998</v>
      </c>
      <c r="AW22" s="189">
        <v>1.6920000000000002</v>
      </c>
      <c r="AX22" s="189">
        <v>10.381000000000004</v>
      </c>
      <c r="AY22" s="189">
        <v>2.1070000000000002</v>
      </c>
      <c r="AZ22" s="189">
        <v>2.77</v>
      </c>
      <c r="BA22" s="189">
        <v>6.4943999999999988</v>
      </c>
      <c r="BB22" s="189">
        <v>43.213000000000008</v>
      </c>
      <c r="BC22" s="189">
        <v>6.8736699999999997</v>
      </c>
      <c r="BD22" s="189">
        <v>3.2120199999999999</v>
      </c>
    </row>
    <row r="23" spans="1:57">
      <c r="A23" s="142">
        <f t="shared" si="0"/>
        <v>18</v>
      </c>
      <c r="B23" s="143" t="s">
        <v>150</v>
      </c>
      <c r="C23" s="141">
        <f t="shared" si="14"/>
        <v>16.408999999999999</v>
      </c>
      <c r="D23" s="141">
        <f t="shared" si="15"/>
        <v>27.562370000000001</v>
      </c>
      <c r="E23" s="144">
        <f t="shared" si="17"/>
        <v>0.67971052471204851</v>
      </c>
      <c r="F23" s="140"/>
      <c r="G23" s="142">
        <f t="shared" si="1"/>
        <v>18</v>
      </c>
      <c r="H23" s="143" t="s">
        <v>150</v>
      </c>
      <c r="I23" s="150">
        <v>705.99599999999998</v>
      </c>
      <c r="J23" s="150">
        <v>717.90400000000011</v>
      </c>
      <c r="K23" s="150">
        <v>672</v>
      </c>
      <c r="L23" s="150">
        <v>527.33199999999999</v>
      </c>
      <c r="M23" s="150">
        <v>791.64400000000001</v>
      </c>
      <c r="N23" s="150">
        <v>699.44800000000009</v>
      </c>
      <c r="O23" s="150">
        <v>650.74800000000005</v>
      </c>
      <c r="P23" s="150">
        <v>262.99700000000001</v>
      </c>
      <c r="Q23" s="150">
        <v>699.51299999999992</v>
      </c>
      <c r="R23" s="150">
        <v>723.97800000000007</v>
      </c>
      <c r="S23" s="150">
        <v>743</v>
      </c>
      <c r="T23" s="150">
        <v>338.56899999999996</v>
      </c>
      <c r="U23" s="150">
        <v>735.95499999999993</v>
      </c>
      <c r="V23" s="150">
        <v>738.17399999999998</v>
      </c>
      <c r="W23" s="150">
        <v>746.9</v>
      </c>
      <c r="X23" s="150">
        <v>384.94999999999993</v>
      </c>
      <c r="Y23" s="150">
        <v>736.45100000000002</v>
      </c>
      <c r="Z23" s="150">
        <v>682.37900000000002</v>
      </c>
      <c r="AA23" s="150">
        <v>705.14099999999996</v>
      </c>
      <c r="AB23" s="150">
        <v>495.72</v>
      </c>
      <c r="AC23" s="150">
        <v>699.16600000000005</v>
      </c>
      <c r="AD23" s="150">
        <v>690.70500000000004</v>
      </c>
      <c r="AE23" s="150">
        <v>198.446</v>
      </c>
      <c r="AF23" s="150">
        <v>345.66499999999996</v>
      </c>
      <c r="AG23" s="190">
        <v>616.63599999999997</v>
      </c>
      <c r="AH23" s="190">
        <v>651.28</v>
      </c>
      <c r="AI23" s="190">
        <v>545.02200000000005</v>
      </c>
      <c r="AJ23" s="190">
        <v>382.024</v>
      </c>
      <c r="AK23" s="190">
        <v>671.76</v>
      </c>
      <c r="AL23" s="190">
        <v>745.44200000000001</v>
      </c>
      <c r="AM23" s="190">
        <v>719.26699999999994</v>
      </c>
      <c r="AN23" s="190">
        <v>383.79399999999998</v>
      </c>
      <c r="AO23" s="190">
        <v>638.1110000000001</v>
      </c>
      <c r="AP23" s="190">
        <v>653.25099999999998</v>
      </c>
      <c r="AQ23" s="190">
        <v>716.97700000000009</v>
      </c>
      <c r="AR23" s="190">
        <v>344.22300000000001</v>
      </c>
      <c r="AS23" s="190">
        <v>610.70500000000004</v>
      </c>
      <c r="AT23" s="190">
        <v>634.245</v>
      </c>
      <c r="AU23" s="190">
        <v>221.21600000000001</v>
      </c>
      <c r="AV23" s="190">
        <v>87.093999999999994</v>
      </c>
      <c r="AW23" s="190">
        <v>565.31099999999992</v>
      </c>
      <c r="AX23" s="190">
        <v>322.98799999999983</v>
      </c>
      <c r="AY23" s="190">
        <v>340.4670000000001</v>
      </c>
      <c r="AZ23" s="190">
        <v>16.408999999999999</v>
      </c>
      <c r="BA23" s="190">
        <v>138.24399999999989</v>
      </c>
      <c r="BB23" s="190">
        <v>0</v>
      </c>
      <c r="BC23" s="190">
        <v>0</v>
      </c>
      <c r="BD23" s="190">
        <v>27.562370000000001</v>
      </c>
      <c r="BE23" s="140"/>
    </row>
    <row r="24" spans="1:57">
      <c r="A24" s="51">
        <f t="shared" si="0"/>
        <v>19</v>
      </c>
      <c r="B24" s="24" t="s">
        <v>151</v>
      </c>
      <c r="C24" s="25">
        <f t="shared" si="14"/>
        <v>444.19733104973193</v>
      </c>
      <c r="D24" s="25">
        <f t="shared" si="15"/>
        <v>689.05430521860353</v>
      </c>
      <c r="E24" s="83" t="s">
        <v>144</v>
      </c>
      <c r="G24" s="51">
        <f t="shared" si="1"/>
        <v>19</v>
      </c>
      <c r="H24" s="24" t="s">
        <v>151</v>
      </c>
      <c r="I24" s="154">
        <f t="shared" ref="I24:BC24" si="18">SUM(I25:I26)</f>
        <v>0</v>
      </c>
      <c r="J24" s="154">
        <f t="shared" si="18"/>
        <v>0</v>
      </c>
      <c r="K24" s="154">
        <f t="shared" si="18"/>
        <v>0</v>
      </c>
      <c r="L24" s="153">
        <f t="shared" si="18"/>
        <v>27</v>
      </c>
      <c r="M24" s="153">
        <f t="shared" si="18"/>
        <v>17.866000000000003</v>
      </c>
      <c r="N24" s="153">
        <f t="shared" si="18"/>
        <v>27.525100000000002</v>
      </c>
      <c r="O24" s="153">
        <f t="shared" si="18"/>
        <v>27.0913</v>
      </c>
      <c r="P24" s="153">
        <f t="shared" si="18"/>
        <v>38.855344280000011</v>
      </c>
      <c r="Q24" s="153">
        <f t="shared" si="18"/>
        <v>18.837700000000002</v>
      </c>
      <c r="R24" s="153">
        <f t="shared" si="18"/>
        <v>18.474769999999999</v>
      </c>
      <c r="S24" s="153">
        <f t="shared" si="18"/>
        <v>28</v>
      </c>
      <c r="T24" s="153">
        <f t="shared" si="18"/>
        <v>29.851632112000004</v>
      </c>
      <c r="U24" s="153">
        <f t="shared" si="18"/>
        <v>21.848003753000004</v>
      </c>
      <c r="V24" s="153">
        <f t="shared" si="18"/>
        <v>29.300611658000001</v>
      </c>
      <c r="W24" s="153">
        <f t="shared" si="18"/>
        <v>29.4</v>
      </c>
      <c r="X24" s="153">
        <f t="shared" si="18"/>
        <v>35.836244550000004</v>
      </c>
      <c r="Y24" s="153">
        <f t="shared" si="18"/>
        <v>26.215077972368299</v>
      </c>
      <c r="Z24" s="153">
        <f t="shared" si="18"/>
        <v>29.41226087674421</v>
      </c>
      <c r="AA24" s="153">
        <f t="shared" si="18"/>
        <v>36.519630291729221</v>
      </c>
      <c r="AB24" s="153">
        <f t="shared" si="18"/>
        <v>43.706121845772216</v>
      </c>
      <c r="AC24" s="153">
        <f t="shared" si="18"/>
        <v>26.576624748011</v>
      </c>
      <c r="AD24" s="153">
        <f t="shared" si="18"/>
        <v>60.150467104336997</v>
      </c>
      <c r="AE24" s="153">
        <f t="shared" si="18"/>
        <v>108.44471372218833</v>
      </c>
      <c r="AF24" s="153">
        <f t="shared" si="18"/>
        <v>105.50269951004388</v>
      </c>
      <c r="AG24" s="191">
        <f t="shared" si="18"/>
        <v>26.318386791767686</v>
      </c>
      <c r="AH24" s="191">
        <f t="shared" si="18"/>
        <v>24.394579026104999</v>
      </c>
      <c r="AI24" s="191">
        <f t="shared" si="18"/>
        <v>38.531512138870092</v>
      </c>
      <c r="AJ24" s="191">
        <f>SUM(AJ25:AJ26)</f>
        <v>42.633872261769937</v>
      </c>
      <c r="AK24" s="191">
        <f t="shared" si="18"/>
        <v>27.695489046976014</v>
      </c>
      <c r="AL24" s="191">
        <f t="shared" si="18"/>
        <v>25.529994363639318</v>
      </c>
      <c r="AM24" s="191">
        <f t="shared" si="18"/>
        <v>88.357757452910192</v>
      </c>
      <c r="AN24" s="191">
        <f t="shared" si="18"/>
        <v>166.46686625035599</v>
      </c>
      <c r="AO24" s="191">
        <f t="shared" si="18"/>
        <v>251.48959344709863</v>
      </c>
      <c r="AP24" s="191">
        <f t="shared" si="18"/>
        <v>250.44139453022714</v>
      </c>
      <c r="AQ24" s="191">
        <f t="shared" si="18"/>
        <v>170.82899486924816</v>
      </c>
      <c r="AR24" s="191">
        <f t="shared" si="18"/>
        <v>198.53534553044113</v>
      </c>
      <c r="AS24" s="191">
        <f t="shared" si="18"/>
        <v>215.69430917953099</v>
      </c>
      <c r="AT24" s="191">
        <v>170.084287723964</v>
      </c>
      <c r="AU24" s="191">
        <f t="shared" si="18"/>
        <v>153.47972409705409</v>
      </c>
      <c r="AV24" s="191">
        <f t="shared" si="18"/>
        <v>193.01942152888006</v>
      </c>
      <c r="AW24" s="191">
        <f t="shared" si="18"/>
        <v>201.4275113265538</v>
      </c>
      <c r="AX24" s="191">
        <f t="shared" si="18"/>
        <v>176.00807685779762</v>
      </c>
      <c r="AY24" s="191">
        <f t="shared" si="18"/>
        <v>236.15155930584567</v>
      </c>
      <c r="AZ24" s="191">
        <f t="shared" si="18"/>
        <v>444.19733104973193</v>
      </c>
      <c r="BA24" s="191">
        <f t="shared" si="18"/>
        <v>453.29768256184872</v>
      </c>
      <c r="BB24" s="191">
        <f t="shared" si="18"/>
        <v>517.90085364111758</v>
      </c>
      <c r="BC24" s="191">
        <f t="shared" si="18"/>
        <v>619.2058252173872</v>
      </c>
      <c r="BD24" s="191">
        <v>689.05430521860353</v>
      </c>
    </row>
    <row r="25" spans="1:57">
      <c r="A25" s="51">
        <f t="shared" si="0"/>
        <v>20</v>
      </c>
      <c r="B25" s="5" t="s">
        <v>152</v>
      </c>
      <c r="C25" s="26">
        <f t="shared" si="14"/>
        <v>272.2854737096734</v>
      </c>
      <c r="D25" s="26">
        <f t="shared" si="15"/>
        <v>535.65074699999991</v>
      </c>
      <c r="E25" s="42" t="s">
        <v>144</v>
      </c>
      <c r="G25" s="51">
        <f t="shared" si="1"/>
        <v>20</v>
      </c>
      <c r="H25" s="5" t="s">
        <v>152</v>
      </c>
      <c r="I25" s="151">
        <v>0</v>
      </c>
      <c r="J25" s="151">
        <v>0</v>
      </c>
      <c r="K25" s="151">
        <v>0</v>
      </c>
      <c r="L25" s="149">
        <v>27</v>
      </c>
      <c r="M25" s="149">
        <v>17.866000000000003</v>
      </c>
      <c r="N25" s="149">
        <v>27.525100000000002</v>
      </c>
      <c r="O25" s="149">
        <v>27.0913</v>
      </c>
      <c r="P25" s="149">
        <v>38.855344280000011</v>
      </c>
      <c r="Q25" s="149">
        <v>18.837700000000002</v>
      </c>
      <c r="R25" s="149">
        <v>18.474769999999999</v>
      </c>
      <c r="S25" s="149">
        <v>28</v>
      </c>
      <c r="T25" s="149">
        <v>29.851632112000004</v>
      </c>
      <c r="U25" s="149">
        <v>21.848003753000004</v>
      </c>
      <c r="V25" s="149">
        <v>29.300611658000001</v>
      </c>
      <c r="W25" s="149">
        <v>29.4</v>
      </c>
      <c r="X25" s="149">
        <v>35.836244550000004</v>
      </c>
      <c r="Y25" s="149">
        <v>25.603801381104297</v>
      </c>
      <c r="Z25" s="149">
        <v>26.332554626443208</v>
      </c>
      <c r="AA25" s="149">
        <v>33.033485733932224</v>
      </c>
      <c r="AB25" s="149">
        <v>36.79612184577222</v>
      </c>
      <c r="AC25" s="149">
        <v>20.165046798408</v>
      </c>
      <c r="AD25" s="149">
        <v>57.085455013663996</v>
      </c>
      <c r="AE25" s="149">
        <v>104.68628249675183</v>
      </c>
      <c r="AF25" s="149">
        <v>98.468849971651082</v>
      </c>
      <c r="AG25" s="189">
        <v>19.689539782499988</v>
      </c>
      <c r="AH25" s="189">
        <v>21.309542624999999</v>
      </c>
      <c r="AI25" s="189">
        <v>34.433420699999992</v>
      </c>
      <c r="AJ25" s="189">
        <v>35.235859575000035</v>
      </c>
      <c r="AK25" s="189">
        <v>21.419570000000014</v>
      </c>
      <c r="AL25" s="189">
        <v>22.435517000000015</v>
      </c>
      <c r="AM25" s="189">
        <v>84.723199999999991</v>
      </c>
      <c r="AN25" s="189">
        <v>41.485839999999996</v>
      </c>
      <c r="AO25" s="189">
        <v>33.298859999999976</v>
      </c>
      <c r="AP25" s="189">
        <v>24.154230000000002</v>
      </c>
      <c r="AQ25" s="189">
        <v>26.608487000000018</v>
      </c>
      <c r="AR25" s="189">
        <v>24.793479999999988</v>
      </c>
      <c r="AS25" s="189">
        <v>19.005010000000013</v>
      </c>
      <c r="AT25" s="189">
        <v>22.163080000000001</v>
      </c>
      <c r="AU25" s="189">
        <v>27.699690000000004</v>
      </c>
      <c r="AV25" s="189">
        <v>31.993730000000042</v>
      </c>
      <c r="AW25" s="189">
        <v>20.516869999999994</v>
      </c>
      <c r="AX25" s="189">
        <v>41.088380000000029</v>
      </c>
      <c r="AY25" s="189">
        <v>98.723039000000028</v>
      </c>
      <c r="AZ25" s="189">
        <v>272.2854737096734</v>
      </c>
      <c r="BA25" s="189">
        <v>294.69031800000016</v>
      </c>
      <c r="BB25" s="189">
        <v>383.7564840000004</v>
      </c>
      <c r="BC25" s="189">
        <v>472.33024999999975</v>
      </c>
      <c r="BD25" s="189">
        <v>535.65074699999991</v>
      </c>
    </row>
    <row r="26" spans="1:57">
      <c r="A26" s="51">
        <f t="shared" si="0"/>
        <v>21</v>
      </c>
      <c r="B26" s="5" t="s">
        <v>238</v>
      </c>
      <c r="C26" s="26">
        <f t="shared" si="14"/>
        <v>171.91185734005853</v>
      </c>
      <c r="D26" s="26">
        <f t="shared" si="15"/>
        <v>153.40355821860359</v>
      </c>
      <c r="E26" s="42">
        <f t="shared" si="17"/>
        <v>-0.1076615621972119</v>
      </c>
      <c r="G26" s="51">
        <f t="shared" si="1"/>
        <v>21</v>
      </c>
      <c r="H26" s="5" t="s">
        <v>153</v>
      </c>
      <c r="I26" s="151">
        <v>0</v>
      </c>
      <c r="J26" s="151">
        <v>0</v>
      </c>
      <c r="K26" s="151">
        <v>0</v>
      </c>
      <c r="L26" s="151">
        <v>0</v>
      </c>
      <c r="M26" s="151">
        <v>0</v>
      </c>
      <c r="N26" s="151">
        <v>0</v>
      </c>
      <c r="O26" s="151">
        <v>0</v>
      </c>
      <c r="P26" s="151">
        <v>0</v>
      </c>
      <c r="Q26" s="151">
        <v>0</v>
      </c>
      <c r="R26" s="151">
        <v>0</v>
      </c>
      <c r="S26" s="151">
        <v>0</v>
      </c>
      <c r="T26" s="151">
        <v>0</v>
      </c>
      <c r="U26" s="151">
        <v>0</v>
      </c>
      <c r="V26" s="151">
        <v>0</v>
      </c>
      <c r="W26" s="151">
        <v>0</v>
      </c>
      <c r="X26" s="151">
        <v>0</v>
      </c>
      <c r="Y26" s="151">
        <v>0.61127659126400002</v>
      </c>
      <c r="Z26" s="151">
        <v>3.0797062503010002</v>
      </c>
      <c r="AA26" s="151">
        <v>3.4861445577970001</v>
      </c>
      <c r="AB26" s="151">
        <v>6.91</v>
      </c>
      <c r="AC26" s="151">
        <v>6.4115779496030001</v>
      </c>
      <c r="AD26" s="151">
        <v>3.0650120906730001</v>
      </c>
      <c r="AE26" s="151">
        <v>3.7584312254364995</v>
      </c>
      <c r="AF26" s="149">
        <v>7.0338495383928006</v>
      </c>
      <c r="AG26" s="189">
        <v>6.6288470092676999</v>
      </c>
      <c r="AH26" s="189">
        <v>3.085036401105</v>
      </c>
      <c r="AI26" s="189">
        <v>4.0980914388700995</v>
      </c>
      <c r="AJ26" s="189">
        <v>7.398012686769901</v>
      </c>
      <c r="AK26" s="189">
        <v>6.2759190469760009</v>
      </c>
      <c r="AL26" s="189">
        <v>3.0944773636393013</v>
      </c>
      <c r="AM26" s="189">
        <v>3.6345574529101992</v>
      </c>
      <c r="AN26" s="189">
        <v>124.981026250356</v>
      </c>
      <c r="AO26" s="189">
        <v>218.19073344709864</v>
      </c>
      <c r="AP26" s="189">
        <v>226.28716453022713</v>
      </c>
      <c r="AQ26" s="189">
        <v>144.22050786924814</v>
      </c>
      <c r="AR26" s="189">
        <v>173.74186553044115</v>
      </c>
      <c r="AS26" s="189">
        <v>196.68929917953099</v>
      </c>
      <c r="AT26" s="189">
        <v>147.92120772396399</v>
      </c>
      <c r="AU26" s="189">
        <v>125.78003409705408</v>
      </c>
      <c r="AV26" s="189">
        <v>161.02569152888</v>
      </c>
      <c r="AW26" s="189">
        <v>180.91064132655382</v>
      </c>
      <c r="AX26" s="189">
        <v>134.91969685779759</v>
      </c>
      <c r="AY26" s="189">
        <v>137.42852030584564</v>
      </c>
      <c r="AZ26" s="189">
        <v>171.91185734005853</v>
      </c>
      <c r="BA26" s="189">
        <v>158.60736456184856</v>
      </c>
      <c r="BB26" s="189">
        <v>134.14436964111715</v>
      </c>
      <c r="BC26" s="189">
        <v>146.87557521738748</v>
      </c>
      <c r="BD26" s="189">
        <v>153.40355821860359</v>
      </c>
    </row>
    <row r="27" spans="1:57">
      <c r="A27" s="51">
        <f t="shared" si="0"/>
        <v>22</v>
      </c>
      <c r="B27" s="24" t="s">
        <v>154</v>
      </c>
      <c r="C27" s="27">
        <f t="shared" si="14"/>
        <v>21.875043983072032</v>
      </c>
      <c r="D27" s="27">
        <f t="shared" si="15"/>
        <v>167.00887583934099</v>
      </c>
      <c r="E27" s="42" t="s">
        <v>144</v>
      </c>
      <c r="G27" s="51">
        <f t="shared" si="1"/>
        <v>22</v>
      </c>
      <c r="H27" s="24" t="s">
        <v>154</v>
      </c>
      <c r="I27" s="151">
        <v>0</v>
      </c>
      <c r="J27" s="151">
        <v>0</v>
      </c>
      <c r="K27" s="153">
        <v>23.8</v>
      </c>
      <c r="L27" s="153">
        <v>119.8</v>
      </c>
      <c r="M27" s="151">
        <v>0</v>
      </c>
      <c r="N27" s="151">
        <v>0</v>
      </c>
      <c r="O27" s="151">
        <v>0</v>
      </c>
      <c r="P27" s="153">
        <v>124</v>
      </c>
      <c r="Q27" s="151">
        <v>0</v>
      </c>
      <c r="R27" s="151">
        <v>0</v>
      </c>
      <c r="S27" s="153">
        <v>433</v>
      </c>
      <c r="T27" s="153">
        <v>490</v>
      </c>
      <c r="U27" s="151">
        <v>0</v>
      </c>
      <c r="V27" s="151">
        <v>0</v>
      </c>
      <c r="W27" s="153">
        <v>52.114804692825103</v>
      </c>
      <c r="X27" s="154">
        <v>0</v>
      </c>
      <c r="Y27" s="154">
        <v>0</v>
      </c>
      <c r="Z27" s="154">
        <v>0</v>
      </c>
      <c r="AA27" s="154">
        <v>65.028804890240636</v>
      </c>
      <c r="AB27" s="154">
        <v>29.296061395493101</v>
      </c>
      <c r="AC27" s="154">
        <v>0</v>
      </c>
      <c r="AD27" s="154">
        <v>0</v>
      </c>
      <c r="AE27" s="154">
        <v>369</v>
      </c>
      <c r="AF27" s="154">
        <v>102.91959303165353</v>
      </c>
      <c r="AG27" s="191">
        <v>0</v>
      </c>
      <c r="AH27" s="191">
        <v>0</v>
      </c>
      <c r="AI27" s="191">
        <v>0</v>
      </c>
      <c r="AJ27" s="191">
        <v>269.7378305259823</v>
      </c>
      <c r="AK27" s="191">
        <v>180.38096507499472</v>
      </c>
      <c r="AL27" s="191">
        <v>0</v>
      </c>
      <c r="AM27" s="191">
        <v>0</v>
      </c>
      <c r="AN27" s="191">
        <v>105.3</v>
      </c>
      <c r="AO27" s="191">
        <v>0</v>
      </c>
      <c r="AP27" s="191">
        <v>0</v>
      </c>
      <c r="AQ27" s="191">
        <v>35.746797153592098</v>
      </c>
      <c r="AR27" s="191">
        <v>0</v>
      </c>
      <c r="AS27" s="191">
        <v>0</v>
      </c>
      <c r="AT27" s="191">
        <v>0</v>
      </c>
      <c r="AU27" s="191">
        <v>18</v>
      </c>
      <c r="AV27" s="191">
        <v>170</v>
      </c>
      <c r="AW27" s="191">
        <v>0</v>
      </c>
      <c r="AX27" s="191">
        <v>0</v>
      </c>
      <c r="AY27" s="191">
        <v>46.2</v>
      </c>
      <c r="AZ27" s="191">
        <v>21.875043983072032</v>
      </c>
      <c r="BA27" s="191">
        <v>237.27479216608481</v>
      </c>
      <c r="BB27" s="191">
        <v>184.44538072589523</v>
      </c>
      <c r="BC27" s="191">
        <v>463.63880828650508</v>
      </c>
      <c r="BD27" s="191">
        <v>167.00887583934099</v>
      </c>
    </row>
    <row r="28" spans="1:57" ht="5.25" customHeight="1">
      <c r="A28" s="51">
        <f t="shared" si="0"/>
        <v>23</v>
      </c>
      <c r="C28" s="70"/>
      <c r="D28" s="70"/>
      <c r="E28" s="84"/>
      <c r="G28" s="51">
        <f t="shared" si="1"/>
        <v>23</v>
      </c>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row>
    <row r="29" spans="1:57">
      <c r="A29" s="51">
        <f t="shared" si="0"/>
        <v>24</v>
      </c>
      <c r="B29" s="19" t="s">
        <v>155</v>
      </c>
      <c r="C29" s="23">
        <f>HLOOKUP($C$6,$H$6:$BE$29,$G29,FALSE)</f>
        <v>92.404878378594844</v>
      </c>
      <c r="D29" s="23">
        <f>HLOOKUP($D$6,$H$6:$BE$29,$G29,FALSE)</f>
        <v>-149.54057448226166</v>
      </c>
      <c r="E29" s="48" t="s">
        <v>144</v>
      </c>
      <c r="G29" s="51">
        <f t="shared" si="1"/>
        <v>24</v>
      </c>
      <c r="H29" s="19" t="s">
        <v>155</v>
      </c>
      <c r="I29" s="156">
        <f>I13-I27</f>
        <v>218.96751644732302</v>
      </c>
      <c r="J29" s="156">
        <f t="shared" ref="J29:W29" si="19">J13-J27</f>
        <v>424.53248355267698</v>
      </c>
      <c r="K29" s="156">
        <f t="shared" si="19"/>
        <v>123.2</v>
      </c>
      <c r="L29" s="156">
        <f t="shared" si="19"/>
        <v>-119.8</v>
      </c>
      <c r="M29" s="156">
        <f t="shared" si="19"/>
        <v>327</v>
      </c>
      <c r="N29" s="156">
        <f t="shared" si="19"/>
        <v>484</v>
      </c>
      <c r="O29" s="156">
        <f t="shared" si="19"/>
        <v>455.71628899999996</v>
      </c>
      <c r="P29" s="156">
        <f t="shared" si="19"/>
        <v>53.761164545645784</v>
      </c>
      <c r="Q29" s="156">
        <f t="shared" si="19"/>
        <v>402.79276660438609</v>
      </c>
      <c r="R29" s="156">
        <f t="shared" si="19"/>
        <v>512.70931975909969</v>
      </c>
      <c r="S29" s="156">
        <f t="shared" si="19"/>
        <v>-433</v>
      </c>
      <c r="T29" s="156">
        <f t="shared" si="19"/>
        <v>-490</v>
      </c>
      <c r="U29" s="156">
        <f>U13-U27</f>
        <v>355.57419945754248</v>
      </c>
      <c r="V29" s="156">
        <f t="shared" si="19"/>
        <v>476.44857716393153</v>
      </c>
      <c r="W29" s="156">
        <f t="shared" si="19"/>
        <v>163.68519530717492</v>
      </c>
      <c r="X29" s="156">
        <f t="shared" ref="X29:Y29" si="20">X13-X27</f>
        <v>345.10789999999997</v>
      </c>
      <c r="Y29" s="156">
        <f t="shared" si="20"/>
        <v>524.51625259600632</v>
      </c>
      <c r="Z29" s="156">
        <f>Z13-Z27</f>
        <v>517.42100000000005</v>
      </c>
      <c r="AA29" s="156">
        <f>AA13-AA27</f>
        <v>49.138423481814684</v>
      </c>
      <c r="AB29" s="156">
        <f t="shared" ref="AB29:AE29" si="21">AB13-AB27</f>
        <v>127.18293860450689</v>
      </c>
      <c r="AC29" s="156">
        <f t="shared" si="21"/>
        <v>679.59258450063749</v>
      </c>
      <c r="AD29" s="156">
        <f t="shared" si="21"/>
        <v>565.63741879474242</v>
      </c>
      <c r="AE29" s="156">
        <f t="shared" si="21"/>
        <v>-338</v>
      </c>
      <c r="AF29" s="156">
        <f t="shared" ref="AF29:AL29" si="22">AF13-AF27</f>
        <v>-102.91959303165353</v>
      </c>
      <c r="AG29" s="192">
        <f t="shared" si="22"/>
        <v>399.97817196043991</v>
      </c>
      <c r="AH29" s="192">
        <f t="shared" si="22"/>
        <v>500.52412506537814</v>
      </c>
      <c r="AI29" s="192">
        <f t="shared" si="22"/>
        <v>789.41849508749317</v>
      </c>
      <c r="AJ29" s="192">
        <f t="shared" si="22"/>
        <v>-234.52825661752502</v>
      </c>
      <c r="AK29" s="192">
        <f t="shared" si="22"/>
        <v>-93.084104091865811</v>
      </c>
      <c r="AL29" s="192">
        <f t="shared" si="22"/>
        <v>621.59086649847029</v>
      </c>
      <c r="AM29" s="192">
        <f>AM13-AM27</f>
        <v>253.63679747067806</v>
      </c>
      <c r="AN29" s="192">
        <f>AN13-AN27</f>
        <v>74.494145812848004</v>
      </c>
      <c r="AO29" s="192">
        <f>AO13-AO27</f>
        <v>239.91037121077659</v>
      </c>
      <c r="AP29" s="192">
        <f t="shared" ref="AP29:AZ29" si="23">AP13-AP27</f>
        <v>535.4789254188147</v>
      </c>
      <c r="AQ29" s="192">
        <f t="shared" si="23"/>
        <v>194.77162800738492</v>
      </c>
      <c r="AR29" s="192">
        <f t="shared" si="23"/>
        <v>448.44301984515789</v>
      </c>
      <c r="AS29" s="192">
        <f t="shared" si="23"/>
        <v>304.45764578247338</v>
      </c>
      <c r="AT29" s="192">
        <f t="shared" si="23"/>
        <v>460.25699149522723</v>
      </c>
      <c r="AU29" s="192">
        <f t="shared" si="23"/>
        <v>231.75240306943329</v>
      </c>
      <c r="AV29" s="192">
        <f t="shared" si="23"/>
        <v>-134.84125469305002</v>
      </c>
      <c r="AW29" s="192">
        <f t="shared" si="23"/>
        <v>538.82338362416829</v>
      </c>
      <c r="AX29" s="192">
        <f t="shared" si="23"/>
        <v>674.42645749625297</v>
      </c>
      <c r="AY29" s="192">
        <f t="shared" si="23"/>
        <v>260.8402153260227</v>
      </c>
      <c r="AZ29" s="192">
        <f t="shared" si="23"/>
        <v>92.404878378594844</v>
      </c>
      <c r="BA29" s="192">
        <f t="shared" ref="BA29:BB29" si="24">BA13-BA27</f>
        <v>-237.27479216608481</v>
      </c>
      <c r="BB29" s="192">
        <f t="shared" si="24"/>
        <v>-184.44538072589523</v>
      </c>
      <c r="BC29" s="192">
        <f>BC13-BC27</f>
        <v>-463.63880828650508</v>
      </c>
      <c r="BD29" s="192">
        <f>BD13-BD27</f>
        <v>-149.54057448226166</v>
      </c>
    </row>
    <row r="30" spans="1:57">
      <c r="E30" s="50"/>
      <c r="BC30" s="147"/>
      <c r="BD30" s="147"/>
    </row>
    <row r="31" spans="1:57">
      <c r="BC31" s="147"/>
      <c r="BD31" s="147"/>
    </row>
    <row r="32" spans="1:57">
      <c r="BC32" s="147"/>
      <c r="BD32" s="147"/>
    </row>
    <row r="33" spans="1:57">
      <c r="BC33" s="147"/>
      <c r="BD33" s="147"/>
    </row>
    <row r="34" spans="1:57" ht="23.5">
      <c r="B34" s="11" t="s">
        <v>28</v>
      </c>
      <c r="C34" s="12"/>
      <c r="D34" s="12"/>
      <c r="E34" s="12"/>
      <c r="H34" s="11" t="s">
        <v>28</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6"/>
      <c r="BD34" s="146"/>
    </row>
    <row r="35" spans="1:57">
      <c r="BC35" s="147"/>
      <c r="BD35" s="147"/>
    </row>
    <row r="36" spans="1:57">
      <c r="A36" s="51">
        <v>1</v>
      </c>
      <c r="B36" s="3" t="s">
        <v>93</v>
      </c>
      <c r="C36" s="208" t="str">
        <f>C6</f>
        <v>4Q24</v>
      </c>
      <c r="D36" s="208" t="str">
        <f>D6</f>
        <v>4Q25</v>
      </c>
      <c r="E36" s="208" t="s">
        <v>96</v>
      </c>
      <c r="G36" s="51">
        <v>1</v>
      </c>
      <c r="H36" s="3" t="s">
        <v>93</v>
      </c>
      <c r="I36" s="208" t="s">
        <v>97</v>
      </c>
      <c r="J36" s="208" t="s">
        <v>98</v>
      </c>
      <c r="K36" s="208" t="s">
        <v>99</v>
      </c>
      <c r="L36" s="208" t="s">
        <v>100</v>
      </c>
      <c r="M36" s="208" t="s">
        <v>101</v>
      </c>
      <c r="N36" s="208" t="s">
        <v>102</v>
      </c>
      <c r="O36" s="208" t="s">
        <v>103</v>
      </c>
      <c r="P36" s="208" t="s">
        <v>104</v>
      </c>
      <c r="Q36" s="208" t="s">
        <v>105</v>
      </c>
      <c r="R36" s="208" t="s">
        <v>106</v>
      </c>
      <c r="S36" s="208" t="s">
        <v>107</v>
      </c>
      <c r="T36" s="208" t="s">
        <v>108</v>
      </c>
      <c r="U36" s="208" t="s">
        <v>109</v>
      </c>
      <c r="V36" s="208" t="s">
        <v>110</v>
      </c>
      <c r="W36" s="208" t="s">
        <v>111</v>
      </c>
      <c r="X36" s="208" t="s">
        <v>112</v>
      </c>
      <c r="Y36" s="208" t="s">
        <v>113</v>
      </c>
      <c r="Z36" s="208" t="s">
        <v>114</v>
      </c>
      <c r="AA36" s="208" t="s">
        <v>115</v>
      </c>
      <c r="AB36" s="208" t="s">
        <v>116</v>
      </c>
      <c r="AC36" s="208" t="s">
        <v>117</v>
      </c>
      <c r="AD36" s="208" t="s">
        <v>118</v>
      </c>
      <c r="AE36" s="208" t="s">
        <v>119</v>
      </c>
      <c r="AF36" s="208" t="s">
        <v>120</v>
      </c>
      <c r="AG36" s="208" t="s">
        <v>121</v>
      </c>
      <c r="AH36" s="208" t="s">
        <v>122</v>
      </c>
      <c r="AI36" s="208" t="s">
        <v>123</v>
      </c>
      <c r="AJ36" s="208" t="s">
        <v>124</v>
      </c>
      <c r="AK36" s="208" t="s">
        <v>125</v>
      </c>
      <c r="AL36" s="208" t="s">
        <v>126</v>
      </c>
      <c r="AM36" s="208" t="s">
        <v>127</v>
      </c>
      <c r="AN36" s="208" t="s">
        <v>128</v>
      </c>
      <c r="AO36" s="208" t="s">
        <v>129</v>
      </c>
      <c r="AP36" s="208" t="s">
        <v>130</v>
      </c>
      <c r="AQ36" s="208" t="s">
        <v>131</v>
      </c>
      <c r="AR36" s="208" t="s">
        <v>132</v>
      </c>
      <c r="AS36" s="208" t="s">
        <v>133</v>
      </c>
      <c r="AT36" s="208" t="s">
        <v>134</v>
      </c>
      <c r="AU36" s="208" t="s">
        <v>135</v>
      </c>
      <c r="AV36" s="208" t="s">
        <v>94</v>
      </c>
      <c r="AW36" s="208" t="s">
        <v>136</v>
      </c>
      <c r="AX36" s="208" t="s">
        <v>137</v>
      </c>
      <c r="AY36" s="208" t="s">
        <v>138</v>
      </c>
      <c r="AZ36" s="208" t="s">
        <v>95</v>
      </c>
      <c r="BA36" s="208" t="s">
        <v>231</v>
      </c>
      <c r="BB36" s="208" t="s">
        <v>232</v>
      </c>
      <c r="BC36" s="208" t="s">
        <v>252</v>
      </c>
      <c r="BD36" s="208" t="s">
        <v>263</v>
      </c>
    </row>
    <row r="37" spans="1:57">
      <c r="A37" s="51">
        <v>2</v>
      </c>
      <c r="B37" s="3" t="s">
        <v>139</v>
      </c>
      <c r="C37" s="208"/>
      <c r="D37" s="208"/>
      <c r="E37" s="208"/>
      <c r="G37" s="51">
        <f>G36+1</f>
        <v>2</v>
      </c>
      <c r="H37" s="3" t="s">
        <v>139</v>
      </c>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row>
    <row r="38" spans="1:57">
      <c r="A38" s="51">
        <v>3</v>
      </c>
      <c r="G38" s="51">
        <f t="shared" ref="G38:G51" si="25">G37+1</f>
        <v>3</v>
      </c>
    </row>
    <row r="39" spans="1:57">
      <c r="A39" s="51">
        <v>4</v>
      </c>
      <c r="B39" s="6" t="s">
        <v>140</v>
      </c>
      <c r="C39" s="20">
        <f>SUM(C41:C42)</f>
        <v>964.03771588203972</v>
      </c>
      <c r="D39" s="20">
        <f>SUM(D41:D42)</f>
        <v>933.73349881037541</v>
      </c>
      <c r="E39" s="60">
        <f>D39/C39-1</f>
        <v>-3.1434679963675105E-2</v>
      </c>
      <c r="G39" s="51">
        <f t="shared" si="25"/>
        <v>4</v>
      </c>
      <c r="H39" s="6" t="s">
        <v>140</v>
      </c>
      <c r="I39" s="157"/>
      <c r="J39" s="157"/>
      <c r="K39" s="157"/>
      <c r="L39" s="157"/>
      <c r="M39" s="157"/>
      <c r="N39" s="157"/>
      <c r="O39" s="157"/>
      <c r="P39" s="157"/>
      <c r="Q39" s="148">
        <f>Q41+Q42</f>
        <v>896.15477393720892</v>
      </c>
      <c r="R39" s="148">
        <f t="shared" ref="R39:W39" si="26">R41+R42</f>
        <v>966.33258163299797</v>
      </c>
      <c r="S39" s="148">
        <f t="shared" si="26"/>
        <v>931.47193074071765</v>
      </c>
      <c r="T39" s="148">
        <f t="shared" si="26"/>
        <v>1184.7649773808278</v>
      </c>
      <c r="U39" s="148">
        <f t="shared" si="26"/>
        <v>788.82634795288288</v>
      </c>
      <c r="V39" s="148">
        <f t="shared" si="26"/>
        <v>1049</v>
      </c>
      <c r="W39" s="148">
        <f t="shared" si="26"/>
        <v>1163.3114928183011</v>
      </c>
      <c r="X39" s="148">
        <f t="shared" ref="X39:Y39" si="27">X41+X42</f>
        <v>1110.2813305312957</v>
      </c>
      <c r="Y39" s="148">
        <f t="shared" si="27"/>
        <v>809.94496876190215</v>
      </c>
      <c r="Z39" s="148">
        <f t="shared" ref="Z39:AE39" si="28">Z41+Z42</f>
        <v>978.76345776423216</v>
      </c>
      <c r="AA39" s="148">
        <f t="shared" si="28"/>
        <v>1096.5211357750077</v>
      </c>
      <c r="AB39" s="148">
        <f t="shared" si="28"/>
        <v>1159.7479302785923</v>
      </c>
      <c r="AC39" s="148">
        <f t="shared" si="28"/>
        <v>941.93401631200777</v>
      </c>
      <c r="AD39" s="148">
        <f t="shared" si="28"/>
        <v>983.01939262984422</v>
      </c>
      <c r="AE39" s="148">
        <f t="shared" si="28"/>
        <v>1160.60459709322</v>
      </c>
      <c r="AF39" s="148">
        <f t="shared" ref="AF39:AO39" si="29">AF41+AF42</f>
        <v>825.0815780808764</v>
      </c>
      <c r="AG39" s="186">
        <f t="shared" si="29"/>
        <v>515.44411977188861</v>
      </c>
      <c r="AH39" s="186">
        <f t="shared" si="29"/>
        <v>626.65296885991324</v>
      </c>
      <c r="AI39" s="186">
        <f t="shared" si="29"/>
        <v>1018.899188234898</v>
      </c>
      <c r="AJ39" s="186">
        <f t="shared" si="29"/>
        <v>965.98011462914837</v>
      </c>
      <c r="AK39" s="186">
        <f t="shared" si="29"/>
        <v>560.96413158793575</v>
      </c>
      <c r="AL39" s="186">
        <f t="shared" si="29"/>
        <v>877.86212596818189</v>
      </c>
      <c r="AM39" s="186">
        <f t="shared" si="29"/>
        <v>1183.6065573044966</v>
      </c>
      <c r="AN39" s="186">
        <f t="shared" si="29"/>
        <v>906.64523534285752</v>
      </c>
      <c r="AO39" s="186">
        <f t="shared" si="29"/>
        <v>1001.9415212568607</v>
      </c>
      <c r="AP39" s="186">
        <v>952.37681311411916</v>
      </c>
      <c r="AQ39" s="186">
        <v>1150</v>
      </c>
      <c r="AR39" s="186">
        <f>+AR41+AR42</f>
        <v>1174.6311800154549</v>
      </c>
      <c r="AS39" s="186">
        <v>950.48982971991609</v>
      </c>
      <c r="AT39" s="186">
        <v>888.66200499877345</v>
      </c>
      <c r="AU39" s="186">
        <v>1168.5378808233431</v>
      </c>
      <c r="AV39" s="186">
        <v>987</v>
      </c>
      <c r="AW39" s="186">
        <v>817</v>
      </c>
      <c r="AX39" s="186">
        <f>+AX41+AX42</f>
        <v>849.67153843744177</v>
      </c>
      <c r="AY39" s="186">
        <f>+AY41+AY42</f>
        <v>1154.7137404032137</v>
      </c>
      <c r="AZ39" s="186">
        <f>+AZ41+AZ42</f>
        <v>964.03771588203972</v>
      </c>
      <c r="BA39" s="186">
        <f t="shared" ref="BA39:BB39" si="30">+BA41+BA42</f>
        <v>835.7186794293234</v>
      </c>
      <c r="BB39" s="186">
        <f t="shared" si="30"/>
        <v>876.16024172372158</v>
      </c>
      <c r="BC39" s="186">
        <f>+BC41+BC42</f>
        <v>1126.2657359160276</v>
      </c>
      <c r="BD39" s="186">
        <f>+BD41+BD42</f>
        <v>933.73349881037541</v>
      </c>
    </row>
    <row r="40" spans="1:57" ht="6" customHeight="1">
      <c r="A40" s="51">
        <v>5</v>
      </c>
      <c r="E40" s="47"/>
      <c r="G40" s="51">
        <f t="shared" si="25"/>
        <v>5</v>
      </c>
      <c r="I40" s="158"/>
      <c r="J40" s="158"/>
      <c r="K40" s="158"/>
      <c r="L40" s="158"/>
      <c r="M40" s="158"/>
      <c r="N40" s="158"/>
      <c r="O40" s="158"/>
      <c r="P40" s="158"/>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row>
    <row r="41" spans="1:57">
      <c r="A41" s="51">
        <v>6</v>
      </c>
      <c r="B41" s="5" t="s">
        <v>156</v>
      </c>
      <c r="C41" s="21">
        <f>HLOOKUP($C$6,$H$36:$BE$51,$G41,FALSE)</f>
        <v>650.00903993719282</v>
      </c>
      <c r="D41" s="21">
        <f>HLOOKUP($D$6,$H$36:$BE$51,$G41,FALSE)</f>
        <v>803.70276679982408</v>
      </c>
      <c r="E41" s="42">
        <f>+D41/C41-1</f>
        <v>0.23644859904945625</v>
      </c>
      <c r="F41" s="47"/>
      <c r="G41" s="51">
        <f t="shared" si="25"/>
        <v>6</v>
      </c>
      <c r="H41" s="5" t="s">
        <v>156</v>
      </c>
      <c r="I41" s="159"/>
      <c r="J41" s="159"/>
      <c r="K41" s="159"/>
      <c r="L41" s="159"/>
      <c r="M41" s="159"/>
      <c r="N41" s="159"/>
      <c r="O41" s="159"/>
      <c r="P41" s="159"/>
      <c r="Q41" s="149">
        <v>896.15477393720892</v>
      </c>
      <c r="R41" s="149">
        <v>895</v>
      </c>
      <c r="S41" s="149">
        <v>660.8546595771212</v>
      </c>
      <c r="T41" s="149">
        <v>701.74175820562186</v>
      </c>
      <c r="U41" s="149">
        <v>670.14557932067135</v>
      </c>
      <c r="V41" s="149">
        <v>713</v>
      </c>
      <c r="W41" s="149">
        <v>808.7313863700075</v>
      </c>
      <c r="X41" s="149">
        <v>820.11765848199025</v>
      </c>
      <c r="Y41" s="149">
        <v>754.11900053134241</v>
      </c>
      <c r="Z41" s="149">
        <v>805.13023617018166</v>
      </c>
      <c r="AA41" s="149">
        <v>725.43641713442707</v>
      </c>
      <c r="AB41" s="149">
        <v>716.78307257861093</v>
      </c>
      <c r="AC41" s="149">
        <v>752.74025687093615</v>
      </c>
      <c r="AD41" s="149">
        <v>706.19687364754577</v>
      </c>
      <c r="AE41" s="149">
        <v>730.50346933265155</v>
      </c>
      <c r="AF41" s="149">
        <v>732.89679752741722</v>
      </c>
      <c r="AG41" s="189">
        <v>515.44411977188861</v>
      </c>
      <c r="AH41" s="189">
        <v>412.61388027848921</v>
      </c>
      <c r="AI41" s="189">
        <v>466.68086721477931</v>
      </c>
      <c r="AJ41" s="189">
        <v>489.79016563977711</v>
      </c>
      <c r="AK41" s="189">
        <v>509.42713583293488</v>
      </c>
      <c r="AL41" s="189">
        <v>503.87157825194322</v>
      </c>
      <c r="AM41" s="189">
        <v>506.87877990606654</v>
      </c>
      <c r="AN41" s="189">
        <v>525.56750682169206</v>
      </c>
      <c r="AO41" s="189">
        <v>617.02986788140606</v>
      </c>
      <c r="AP41" s="189">
        <v>589.54164912118472</v>
      </c>
      <c r="AQ41" s="189">
        <v>597.40086312962057</v>
      </c>
      <c r="AR41" s="189">
        <v>618.76980656410842</v>
      </c>
      <c r="AS41" s="189">
        <v>868.01545914077974</v>
      </c>
      <c r="AT41" s="189">
        <v>850.02894917809385</v>
      </c>
      <c r="AU41" s="189">
        <v>814</v>
      </c>
      <c r="AV41" s="189">
        <v>838.4</v>
      </c>
      <c r="AW41" s="189">
        <v>578.41103925739662</v>
      </c>
      <c r="AX41" s="189">
        <v>629.25171913528129</v>
      </c>
      <c r="AY41" s="189">
        <v>645.35775083410408</v>
      </c>
      <c r="AZ41" s="189">
        <v>650.00903993719282</v>
      </c>
      <c r="BA41" s="189">
        <v>804.67478702647952</v>
      </c>
      <c r="BB41" s="189">
        <v>791.23560620467583</v>
      </c>
      <c r="BC41" s="189">
        <v>803.68199079653175</v>
      </c>
      <c r="BD41" s="189">
        <v>803.70276679982408</v>
      </c>
      <c r="BE41" s="22"/>
    </row>
    <row r="42" spans="1:57">
      <c r="A42" s="51">
        <v>7</v>
      </c>
      <c r="B42" s="5" t="s">
        <v>143</v>
      </c>
      <c r="C42" s="21">
        <f>HLOOKUP($C$6,$H$36:$BE$51,$G42,FALSE)</f>
        <v>314.0286759448469</v>
      </c>
      <c r="D42" s="21">
        <f>HLOOKUP($D$6,$H$36:$BE$51,$G42,FALSE)</f>
        <v>130.03073201055133</v>
      </c>
      <c r="E42" s="98" t="s">
        <v>144</v>
      </c>
      <c r="G42" s="51">
        <f t="shared" si="25"/>
        <v>7</v>
      </c>
      <c r="H42" s="5" t="s">
        <v>143</v>
      </c>
      <c r="I42" s="159"/>
      <c r="J42" s="159"/>
      <c r="K42" s="159"/>
      <c r="L42" s="159"/>
      <c r="M42" s="159"/>
      <c r="N42" s="159"/>
      <c r="O42" s="159"/>
      <c r="P42" s="159"/>
      <c r="Q42" s="159">
        <v>0</v>
      </c>
      <c r="R42" s="149">
        <v>71.332581632997972</v>
      </c>
      <c r="S42" s="149">
        <v>270.61727116359646</v>
      </c>
      <c r="T42" s="149">
        <v>483.0232191752059</v>
      </c>
      <c r="U42" s="149">
        <v>118.68076863221151</v>
      </c>
      <c r="V42" s="149">
        <v>336</v>
      </c>
      <c r="W42" s="149">
        <v>354.58010644829352</v>
      </c>
      <c r="X42" s="149">
        <v>290.16367204930543</v>
      </c>
      <c r="Y42" s="149">
        <v>55.825968230559759</v>
      </c>
      <c r="Z42" s="149">
        <v>173.63322159405053</v>
      </c>
      <c r="AA42" s="149">
        <v>371.0847186405806</v>
      </c>
      <c r="AB42" s="149">
        <v>442.96485769998151</v>
      </c>
      <c r="AC42" s="149">
        <v>189.19375944107159</v>
      </c>
      <c r="AD42" s="149">
        <v>276.82251898229845</v>
      </c>
      <c r="AE42" s="149">
        <v>430.10112776056849</v>
      </c>
      <c r="AF42" s="149">
        <v>92.184780553459206</v>
      </c>
      <c r="AG42" s="189">
        <v>0</v>
      </c>
      <c r="AH42" s="189">
        <v>214.03908858142407</v>
      </c>
      <c r="AI42" s="189">
        <v>552.21832102011876</v>
      </c>
      <c r="AJ42" s="189">
        <v>476.18994898937126</v>
      </c>
      <c r="AK42" s="189">
        <v>51.536995755000873</v>
      </c>
      <c r="AL42" s="189">
        <v>373.99054771623867</v>
      </c>
      <c r="AM42" s="189">
        <v>676.72777739843013</v>
      </c>
      <c r="AN42" s="189">
        <v>381.07772852116545</v>
      </c>
      <c r="AO42" s="189">
        <v>384.91165337545465</v>
      </c>
      <c r="AP42" s="189">
        <v>362.83516399293444</v>
      </c>
      <c r="AQ42" s="189">
        <v>553</v>
      </c>
      <c r="AR42" s="189">
        <v>555.86137345134637</v>
      </c>
      <c r="AS42" s="189">
        <v>82.474370579136405</v>
      </c>
      <c r="AT42" s="189">
        <v>38.633055820679544</v>
      </c>
      <c r="AU42" s="189">
        <v>355</v>
      </c>
      <c r="AV42" s="189">
        <v>148.4</v>
      </c>
      <c r="AW42" s="189">
        <v>239.05418446802031</v>
      </c>
      <c r="AX42" s="189">
        <v>220.41981930216045</v>
      </c>
      <c r="AY42" s="189">
        <v>509.35598956910962</v>
      </c>
      <c r="AZ42" s="189">
        <v>314.0286759448469</v>
      </c>
      <c r="BA42" s="189">
        <v>31.043892402843881</v>
      </c>
      <c r="BB42" s="189">
        <v>84.924635519045751</v>
      </c>
      <c r="BC42" s="189">
        <v>322.58374511949586</v>
      </c>
      <c r="BD42" s="189">
        <v>130.03073201055133</v>
      </c>
    </row>
    <row r="43" spans="1:57" ht="6" customHeight="1">
      <c r="A43" s="51">
        <v>8</v>
      </c>
      <c r="C43" s="22">
        <f>HLOOKUP($C$6,$H$36:$BE$51,$G43,FALSE)</f>
        <v>0</v>
      </c>
      <c r="D43" s="22">
        <f>HLOOKUP($D$6,$H$36:$BE$51,$G43,FALSE)</f>
        <v>0</v>
      </c>
      <c r="E43" s="47"/>
      <c r="G43" s="51">
        <f t="shared" si="25"/>
        <v>8</v>
      </c>
      <c r="I43" s="158"/>
      <c r="J43" s="158"/>
      <c r="K43" s="158"/>
      <c r="L43" s="158"/>
      <c r="M43" s="158"/>
      <c r="N43" s="158"/>
      <c r="O43" s="158"/>
      <c r="P43" s="158"/>
      <c r="Q43" s="155"/>
      <c r="R43" s="155"/>
      <c r="S43" s="155"/>
      <c r="T43" s="155"/>
      <c r="U43" s="155"/>
      <c r="V43" s="155"/>
      <c r="W43" s="155"/>
      <c r="X43" s="155"/>
      <c r="Y43" s="155"/>
      <c r="Z43" s="155"/>
      <c r="AA43" s="155"/>
      <c r="AB43" s="155"/>
      <c r="AC43" s="155"/>
      <c r="AD43" s="155"/>
      <c r="AE43" s="155"/>
      <c r="AF43" s="155"/>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row>
    <row r="44" spans="1:57">
      <c r="A44" s="51">
        <v>9</v>
      </c>
      <c r="B44" s="5" t="s">
        <v>145</v>
      </c>
      <c r="C44" s="21">
        <f>HLOOKUP($C$6,$H$36:$BE$51,$G44,FALSE)</f>
        <v>566.82221005281372</v>
      </c>
      <c r="D44" s="21">
        <f>HLOOKUP($D$6,$H$36:$BE$51,$G44,FALSE)</f>
        <v>565.10280336980702</v>
      </c>
      <c r="E44" s="98">
        <f t="shared" ref="E44" si="31">+D44/C44-1</f>
        <v>-3.0334144507966343E-3</v>
      </c>
      <c r="G44" s="51">
        <f t="shared" si="25"/>
        <v>9</v>
      </c>
      <c r="H44" s="5" t="s">
        <v>145</v>
      </c>
      <c r="I44" s="159"/>
      <c r="J44" s="159"/>
      <c r="K44" s="159"/>
      <c r="L44" s="159"/>
      <c r="M44" s="159"/>
      <c r="N44" s="159"/>
      <c r="O44" s="159"/>
      <c r="P44" s="159"/>
      <c r="Q44" s="149">
        <v>561</v>
      </c>
      <c r="R44" s="149">
        <v>561.85</v>
      </c>
      <c r="S44" s="149">
        <v>563</v>
      </c>
      <c r="T44" s="149">
        <v>563.79843672169034</v>
      </c>
      <c r="U44" s="149">
        <v>562.0491675086156</v>
      </c>
      <c r="V44" s="149">
        <v>555</v>
      </c>
      <c r="W44" s="149">
        <v>556.32527854111379</v>
      </c>
      <c r="X44" s="149">
        <v>553.79857139638716</v>
      </c>
      <c r="Y44" s="149">
        <v>551.44933226868807</v>
      </c>
      <c r="Z44" s="149">
        <v>550.05621080812159</v>
      </c>
      <c r="AA44" s="149">
        <v>552.75187275807718</v>
      </c>
      <c r="AB44" s="149">
        <v>553.50897294893377</v>
      </c>
      <c r="AC44" s="149">
        <v>554.83417320313413</v>
      </c>
      <c r="AD44" s="149">
        <v>556.62828233456105</v>
      </c>
      <c r="AE44" s="149">
        <v>430.10112776056849</v>
      </c>
      <c r="AF44" s="149">
        <v>558.47159496645133</v>
      </c>
      <c r="AG44" s="189">
        <v>557.94881104256535</v>
      </c>
      <c r="AH44" s="189">
        <v>559.66719784939505</v>
      </c>
      <c r="AI44" s="189">
        <v>558.44830965854737</v>
      </c>
      <c r="AJ44" s="189">
        <v>558.44795283732333</v>
      </c>
      <c r="AK44" s="189">
        <v>560.43931524796665</v>
      </c>
      <c r="AL44" s="189">
        <v>563.2322290763849</v>
      </c>
      <c r="AM44" s="189">
        <v>564.61862806833153</v>
      </c>
      <c r="AN44" s="189">
        <v>566.05694539025978</v>
      </c>
      <c r="AO44" s="189">
        <v>567.77232808725637</v>
      </c>
      <c r="AP44" s="189">
        <v>567.71736581526534</v>
      </c>
      <c r="AQ44" s="189">
        <v>570</v>
      </c>
      <c r="AR44" s="189">
        <v>569.88417776799838</v>
      </c>
      <c r="AS44" s="189">
        <v>570.01257505399542</v>
      </c>
      <c r="AT44" s="189">
        <v>569.84318797499998</v>
      </c>
      <c r="AU44" s="189">
        <v>570</v>
      </c>
      <c r="AV44" s="189">
        <v>570</v>
      </c>
      <c r="AW44" s="189">
        <v>571</v>
      </c>
      <c r="AX44" s="189">
        <v>568.47429751210348</v>
      </c>
      <c r="AY44" s="189">
        <v>568.37550784517077</v>
      </c>
      <c r="AZ44" s="189">
        <v>566.82221005281372</v>
      </c>
      <c r="BA44" s="189">
        <v>566.08392881970701</v>
      </c>
      <c r="BB44" s="189">
        <v>566.27584076471294</v>
      </c>
      <c r="BC44" s="189">
        <v>566.25737536329302</v>
      </c>
      <c r="BD44" s="189">
        <v>565.10280336980702</v>
      </c>
    </row>
    <row r="45" spans="1:57" ht="12.75" customHeight="1">
      <c r="A45" s="51">
        <v>10</v>
      </c>
      <c r="E45" s="47"/>
      <c r="G45" s="51">
        <f t="shared" si="25"/>
        <v>10</v>
      </c>
      <c r="I45" s="158"/>
      <c r="J45" s="158"/>
      <c r="K45" s="158"/>
      <c r="L45" s="158"/>
      <c r="M45" s="158"/>
      <c r="N45" s="158"/>
      <c r="O45" s="158"/>
      <c r="P45" s="158"/>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row>
    <row r="46" spans="1:57">
      <c r="A46" s="51">
        <v>11</v>
      </c>
      <c r="B46" s="6" t="s">
        <v>146</v>
      </c>
      <c r="C46" s="20">
        <f>HLOOKUP($C$6,$H$36:$BE$51,$G46,FALSE)</f>
        <v>988.35416987730935</v>
      </c>
      <c r="D46" s="20">
        <f>HLOOKUP($D$6,$H$36:$BE$51,$G46,FALSE)</f>
        <v>935.49362947170175</v>
      </c>
      <c r="E46" s="60">
        <f>D46/C46-1</f>
        <v>-5.3483398984565889E-2</v>
      </c>
      <c r="G46" s="51">
        <f t="shared" si="25"/>
        <v>11</v>
      </c>
      <c r="H46" s="6" t="s">
        <v>146</v>
      </c>
      <c r="I46" s="157"/>
      <c r="J46" s="157"/>
      <c r="K46" s="157"/>
      <c r="L46" s="157"/>
      <c r="M46" s="157"/>
      <c r="N46" s="157"/>
      <c r="O46" s="157"/>
      <c r="P46" s="157"/>
      <c r="Q46" s="148">
        <v>663</v>
      </c>
      <c r="R46" s="148">
        <v>800</v>
      </c>
      <c r="S46" s="148">
        <v>906.60296019489226</v>
      </c>
      <c r="T46" s="148">
        <v>1211</v>
      </c>
      <c r="U46" s="148">
        <v>715.32866794394647</v>
      </c>
      <c r="V46" s="148">
        <v>1074</v>
      </c>
      <c r="W46" s="148">
        <v>1188.0124632138675</v>
      </c>
      <c r="X46" s="148">
        <f t="shared" ref="X46:AP46" si="32">X48</f>
        <v>1135.4340123571928</v>
      </c>
      <c r="Y46" s="148">
        <f t="shared" si="32"/>
        <v>604.51495743320493</v>
      </c>
      <c r="Z46" s="148">
        <f t="shared" si="32"/>
        <v>1002.3766853551615</v>
      </c>
      <c r="AA46" s="148">
        <f t="shared" si="32"/>
        <v>1120.5979260393226</v>
      </c>
      <c r="AB46" s="148">
        <f t="shared" si="32"/>
        <v>1186.0360253896108</v>
      </c>
      <c r="AC46" s="148">
        <f t="shared" si="32"/>
        <v>931.62044726669956</v>
      </c>
      <c r="AD46" s="148">
        <f t="shared" si="32"/>
        <v>937.26247630600551</v>
      </c>
      <c r="AE46" s="148">
        <f t="shared" si="32"/>
        <v>1185.39815986183</v>
      </c>
      <c r="AF46" s="148">
        <f t="shared" si="32"/>
        <v>713.17974191683015</v>
      </c>
      <c r="AG46" s="186">
        <f t="shared" si="32"/>
        <v>343.09821429481127</v>
      </c>
      <c r="AH46" s="186">
        <f t="shared" si="32"/>
        <v>512.9721762170193</v>
      </c>
      <c r="AI46" s="186">
        <f t="shared" si="32"/>
        <v>1041.8325739005161</v>
      </c>
      <c r="AJ46" s="186">
        <f t="shared" si="32"/>
        <v>989.03271813771471</v>
      </c>
      <c r="AK46" s="186">
        <f t="shared" si="32"/>
        <v>520.66747253658468</v>
      </c>
      <c r="AL46" s="186">
        <f t="shared" si="32"/>
        <v>778.16852065162254</v>
      </c>
      <c r="AM46" s="186">
        <f t="shared" si="32"/>
        <v>1210.0593126671508</v>
      </c>
      <c r="AN46" s="186">
        <f t="shared" si="32"/>
        <v>930.07540105793123</v>
      </c>
      <c r="AO46" s="186">
        <f t="shared" si="32"/>
        <v>1027.2936049546111</v>
      </c>
      <c r="AP46" s="186">
        <f t="shared" si="32"/>
        <v>929.45667144024651</v>
      </c>
      <c r="AQ46" s="186">
        <v>1176</v>
      </c>
      <c r="AR46" s="186">
        <f>+AR48</f>
        <v>1201.6747256588701</v>
      </c>
      <c r="AS46" s="186">
        <v>969.29690750710495</v>
      </c>
      <c r="AT46" s="186">
        <v>337.51918882592179</v>
      </c>
      <c r="AU46" s="186">
        <v>1197.2523524512408</v>
      </c>
      <c r="AV46" s="186">
        <f>AV48</f>
        <v>900</v>
      </c>
      <c r="AW46" s="186">
        <f>AW48</f>
        <v>771</v>
      </c>
      <c r="AX46" s="186">
        <f>+AX48</f>
        <v>864.50316103526006</v>
      </c>
      <c r="AY46" s="186">
        <f>+AY48</f>
        <v>1181.1029749893139</v>
      </c>
      <c r="AZ46" s="186">
        <f>+AZ48</f>
        <v>988.35416987730935</v>
      </c>
      <c r="BA46" s="186">
        <f t="shared" ref="BA46:BB46" si="33">+BA48</f>
        <v>828.67591197789409</v>
      </c>
      <c r="BB46" s="186">
        <f t="shared" si="33"/>
        <v>668.98034241482674</v>
      </c>
      <c r="BC46" s="186">
        <f>+BC48</f>
        <v>1153.1812523852211</v>
      </c>
      <c r="BD46" s="186">
        <f>+BD48</f>
        <v>935.49362947170175</v>
      </c>
    </row>
    <row r="47" spans="1:57" ht="6" customHeight="1">
      <c r="A47" s="51">
        <v>12</v>
      </c>
      <c r="E47" s="47"/>
      <c r="G47" s="51">
        <f t="shared" si="25"/>
        <v>12</v>
      </c>
      <c r="I47" s="158"/>
      <c r="J47" s="158"/>
      <c r="K47" s="158"/>
      <c r="L47" s="158"/>
      <c r="M47" s="158"/>
      <c r="N47" s="158"/>
      <c r="O47" s="158"/>
      <c r="P47" s="158"/>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row>
    <row r="48" spans="1:57">
      <c r="A48" s="51">
        <v>13</v>
      </c>
      <c r="B48" s="5" t="s">
        <v>157</v>
      </c>
      <c r="C48" s="21">
        <f>HLOOKUP($C$6,$H$36:$BE$51,$G48,FALSE)</f>
        <v>988.35416987730935</v>
      </c>
      <c r="D48" s="21">
        <f>HLOOKUP($D$6,$H$36:$BE$51,$G48,FALSE)</f>
        <v>935.49362947170175</v>
      </c>
      <c r="E48" s="42">
        <f>+D48/C48-1</f>
        <v>-5.3483398984565889E-2</v>
      </c>
      <c r="G48" s="51">
        <f t="shared" si="25"/>
        <v>13</v>
      </c>
      <c r="H48" s="5" t="s">
        <v>157</v>
      </c>
      <c r="I48" s="159"/>
      <c r="J48" s="159"/>
      <c r="K48" s="159"/>
      <c r="L48" s="159"/>
      <c r="M48" s="159"/>
      <c r="N48" s="159"/>
      <c r="O48" s="159"/>
      <c r="P48" s="159"/>
      <c r="Q48" s="149">
        <v>663</v>
      </c>
      <c r="R48" s="149">
        <v>800</v>
      </c>
      <c r="S48" s="149">
        <v>906.60296019489226</v>
      </c>
      <c r="T48" s="149">
        <v>1211</v>
      </c>
      <c r="U48" s="149">
        <v>715.32866794394647</v>
      </c>
      <c r="V48" s="149">
        <v>1074</v>
      </c>
      <c r="W48" s="149">
        <v>1188.0124632138675</v>
      </c>
      <c r="X48" s="149">
        <v>1135.4340123571928</v>
      </c>
      <c r="Y48" s="149">
        <v>604.51495743320493</v>
      </c>
      <c r="Z48" s="149">
        <v>1002.3766853551615</v>
      </c>
      <c r="AA48" s="149">
        <v>1120.5979260393226</v>
      </c>
      <c r="AB48" s="149">
        <v>1186.0360253896108</v>
      </c>
      <c r="AC48" s="149">
        <v>931.62044726669956</v>
      </c>
      <c r="AD48" s="149">
        <v>937.26247630600551</v>
      </c>
      <c r="AE48" s="149">
        <v>1185.39815986183</v>
      </c>
      <c r="AF48" s="149">
        <v>713.17974191683015</v>
      </c>
      <c r="AG48" s="189">
        <v>343.09821429481127</v>
      </c>
      <c r="AH48" s="189">
        <v>512.9721762170193</v>
      </c>
      <c r="AI48" s="189">
        <v>1041.8325739005161</v>
      </c>
      <c r="AJ48" s="189">
        <v>989.03271813771471</v>
      </c>
      <c r="AK48" s="189">
        <v>520.66747253658468</v>
      </c>
      <c r="AL48" s="189">
        <v>778.16852065162254</v>
      </c>
      <c r="AM48" s="189">
        <v>1210.0593126671508</v>
      </c>
      <c r="AN48" s="189">
        <v>930.07540105793123</v>
      </c>
      <c r="AO48" s="189">
        <v>1027.2936049546111</v>
      </c>
      <c r="AP48" s="189">
        <v>929.45667144024651</v>
      </c>
      <c r="AQ48" s="189">
        <v>1176</v>
      </c>
      <c r="AR48" s="189">
        <v>1201.6747256588701</v>
      </c>
      <c r="AS48" s="189">
        <v>969.29690750710495</v>
      </c>
      <c r="AT48" s="189">
        <v>337.51918882592179</v>
      </c>
      <c r="AU48" s="189">
        <v>1197.2523524512408</v>
      </c>
      <c r="AV48" s="189">
        <v>900</v>
      </c>
      <c r="AW48" s="189">
        <v>771</v>
      </c>
      <c r="AX48" s="189">
        <v>864.50316103526006</v>
      </c>
      <c r="AY48" s="189">
        <v>1181.1029749893139</v>
      </c>
      <c r="AZ48" s="189">
        <v>988.35416987730935</v>
      </c>
      <c r="BA48" s="189">
        <v>828.67591197789409</v>
      </c>
      <c r="BB48" s="189">
        <v>668.98034241482674</v>
      </c>
      <c r="BC48" s="189">
        <v>1153.1812523852211</v>
      </c>
      <c r="BD48" s="189">
        <v>935.49362947170175</v>
      </c>
    </row>
    <row r="49" spans="1:56">
      <c r="A49" s="51">
        <v>14</v>
      </c>
      <c r="B49" s="5" t="s">
        <v>154</v>
      </c>
      <c r="C49" s="55">
        <f>HLOOKUP($C$6,$H$36:$BE$51,$G49,FALSE)</f>
        <v>0</v>
      </c>
      <c r="D49" s="55">
        <f>HLOOKUP($D$6,$H$36:$BE$51,$G49,FALSE)</f>
        <v>22.94441790984493</v>
      </c>
      <c r="E49" s="99" t="s">
        <v>144</v>
      </c>
      <c r="G49" s="51">
        <f t="shared" si="25"/>
        <v>14</v>
      </c>
      <c r="H49" s="5" t="s">
        <v>154</v>
      </c>
      <c r="I49" s="159"/>
      <c r="J49" s="159"/>
      <c r="K49" s="159"/>
      <c r="L49" s="159"/>
      <c r="M49" s="159"/>
      <c r="N49" s="159"/>
      <c r="O49" s="159"/>
      <c r="P49" s="159"/>
      <c r="Q49" s="149">
        <v>117.26579863620114</v>
      </c>
      <c r="R49" s="149">
        <v>146.8918117608051</v>
      </c>
      <c r="S49" s="149">
        <v>46.406399015580696</v>
      </c>
      <c r="T49" s="151">
        <v>0</v>
      </c>
      <c r="U49" s="149">
        <v>92.800363549785231</v>
      </c>
      <c r="V49" s="151">
        <v>0</v>
      </c>
      <c r="W49" s="151">
        <v>0</v>
      </c>
      <c r="X49" s="151">
        <v>0</v>
      </c>
      <c r="Y49" s="151">
        <v>209.5338502374496</v>
      </c>
      <c r="Z49" s="151">
        <v>0</v>
      </c>
      <c r="AA49" s="151">
        <v>0</v>
      </c>
      <c r="AB49" s="151">
        <v>0</v>
      </c>
      <c r="AC49" s="151">
        <v>33.27100362594868</v>
      </c>
      <c r="AD49" s="151">
        <v>67.834889965652422</v>
      </c>
      <c r="AE49" s="151">
        <v>0</v>
      </c>
      <c r="AF49" s="151">
        <v>130.70588047518626</v>
      </c>
      <c r="AG49" s="189">
        <v>185.6060478259773</v>
      </c>
      <c r="AH49" s="189">
        <v>127.77895410268108</v>
      </c>
      <c r="AI49" s="189">
        <v>0</v>
      </c>
      <c r="AJ49" s="189">
        <v>0</v>
      </c>
      <c r="AK49" s="189">
        <v>57.645095655213254</v>
      </c>
      <c r="AL49" s="189">
        <v>120.04272042266</v>
      </c>
      <c r="AM49" s="189">
        <v>0</v>
      </c>
      <c r="AN49" s="189">
        <v>0</v>
      </c>
      <c r="AO49" s="189">
        <v>0</v>
      </c>
      <c r="AP49" s="189">
        <v>44.494576904377624</v>
      </c>
      <c r="AQ49" s="189">
        <v>0</v>
      </c>
      <c r="AR49" s="189"/>
      <c r="AS49" s="189">
        <v>5</v>
      </c>
      <c r="AT49" s="189">
        <v>562.27625532073023</v>
      </c>
      <c r="AU49" s="189">
        <v>0</v>
      </c>
      <c r="AV49" s="189">
        <v>109</v>
      </c>
      <c r="AW49" s="189">
        <v>66</v>
      </c>
      <c r="AX49" s="189">
        <v>7.0900601357258211</v>
      </c>
      <c r="AY49" s="189">
        <v>0</v>
      </c>
      <c r="AZ49" s="189">
        <v>0</v>
      </c>
      <c r="BA49" s="189">
        <v>30.965941145600709</v>
      </c>
      <c r="BB49" s="189">
        <v>226.44822533615456</v>
      </c>
      <c r="BC49" s="189">
        <v>0</v>
      </c>
      <c r="BD49" s="189">
        <v>22.94441790984493</v>
      </c>
    </row>
    <row r="50" spans="1:56" ht="6" customHeight="1">
      <c r="A50" s="51">
        <v>15</v>
      </c>
      <c r="C50" s="22">
        <f>HLOOKUP($C$6,$H$36:$BE$51,$G50,FALSE)</f>
        <v>0</v>
      </c>
      <c r="D50" s="22">
        <f>HLOOKUP($D$6,$H$36:$BE$51,$G50,FALSE)</f>
        <v>0</v>
      </c>
      <c r="E50" s="47"/>
      <c r="G50" s="51">
        <f t="shared" si="25"/>
        <v>15</v>
      </c>
      <c r="I50" s="158"/>
      <c r="J50" s="158"/>
      <c r="K50" s="158"/>
      <c r="L50" s="158"/>
      <c r="M50" s="158"/>
      <c r="N50" s="158"/>
      <c r="O50" s="158"/>
      <c r="P50" s="158"/>
      <c r="Q50" s="155"/>
      <c r="R50" s="155"/>
      <c r="S50" s="155"/>
      <c r="T50" s="155"/>
      <c r="U50" s="155"/>
      <c r="V50" s="155"/>
      <c r="W50" s="155"/>
      <c r="X50" s="155"/>
      <c r="Y50" s="155"/>
      <c r="Z50" s="155"/>
      <c r="AA50" s="155"/>
      <c r="AB50" s="155">
        <v>0</v>
      </c>
      <c r="AC50" s="155"/>
      <c r="AD50" s="155"/>
      <c r="AE50" s="155"/>
      <c r="AF50" s="155"/>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row>
    <row r="51" spans="1:56">
      <c r="A51" s="51">
        <v>16</v>
      </c>
      <c r="B51" s="73" t="s">
        <v>155</v>
      </c>
      <c r="C51" s="23">
        <f>HLOOKUP($C$6,$H$36:$BE$51,$G51,FALSE)</f>
        <v>314.0286759448469</v>
      </c>
      <c r="D51" s="23">
        <f>HLOOKUP($D$6,$H$36:$BE$51,$G51,FALSE)</f>
        <v>107.0863141007064</v>
      </c>
      <c r="E51" s="100" t="s">
        <v>144</v>
      </c>
      <c r="G51" s="51">
        <f t="shared" si="25"/>
        <v>16</v>
      </c>
      <c r="H51" s="19" t="s">
        <v>155</v>
      </c>
      <c r="I51" s="160"/>
      <c r="J51" s="160"/>
      <c r="K51" s="160"/>
      <c r="L51" s="160"/>
      <c r="M51" s="160"/>
      <c r="N51" s="160"/>
      <c r="O51" s="160"/>
      <c r="P51" s="160"/>
      <c r="Q51" s="156">
        <f t="shared" ref="Q51:BC51" si="34">Q42-Q49</f>
        <v>-117.26579863620114</v>
      </c>
      <c r="R51" s="156">
        <f t="shared" si="34"/>
        <v>-75.559230127807126</v>
      </c>
      <c r="S51" s="156">
        <f t="shared" si="34"/>
        <v>224.21087214801577</v>
      </c>
      <c r="T51" s="156">
        <f t="shared" si="34"/>
        <v>483.0232191752059</v>
      </c>
      <c r="U51" s="156">
        <f t="shared" si="34"/>
        <v>25.880405082426279</v>
      </c>
      <c r="V51" s="156">
        <f t="shared" si="34"/>
        <v>336</v>
      </c>
      <c r="W51" s="156">
        <f t="shared" si="34"/>
        <v>354.58010644829352</v>
      </c>
      <c r="X51" s="156">
        <f t="shared" si="34"/>
        <v>290.16367204930543</v>
      </c>
      <c r="Y51" s="156">
        <f t="shared" si="34"/>
        <v>-153.70788200688983</v>
      </c>
      <c r="Z51" s="156">
        <f t="shared" si="34"/>
        <v>173.63322159405053</v>
      </c>
      <c r="AA51" s="156">
        <f t="shared" si="34"/>
        <v>371.0847186405806</v>
      </c>
      <c r="AB51" s="156">
        <f t="shared" si="34"/>
        <v>442.96485769998151</v>
      </c>
      <c r="AC51" s="156">
        <f t="shared" si="34"/>
        <v>155.92275581512291</v>
      </c>
      <c r="AD51" s="156">
        <f t="shared" si="34"/>
        <v>208.98762901664603</v>
      </c>
      <c r="AE51" s="156">
        <f t="shared" si="34"/>
        <v>430.10112776056849</v>
      </c>
      <c r="AF51" s="156">
        <f t="shared" si="34"/>
        <v>-38.521099921727057</v>
      </c>
      <c r="AG51" s="192">
        <f t="shared" si="34"/>
        <v>-185.6060478259773</v>
      </c>
      <c r="AH51" s="192">
        <f t="shared" si="34"/>
        <v>86.260134478742984</v>
      </c>
      <c r="AI51" s="192">
        <f t="shared" si="34"/>
        <v>552.21832102011876</v>
      </c>
      <c r="AJ51" s="192">
        <f t="shared" si="34"/>
        <v>476.18994898937126</v>
      </c>
      <c r="AK51" s="192">
        <f t="shared" si="34"/>
        <v>-6.1080999002123804</v>
      </c>
      <c r="AL51" s="192">
        <f t="shared" si="34"/>
        <v>253.94782729357865</v>
      </c>
      <c r="AM51" s="192">
        <f t="shared" si="34"/>
        <v>676.72777739843013</v>
      </c>
      <c r="AN51" s="192">
        <f t="shared" si="34"/>
        <v>381.07772852116545</v>
      </c>
      <c r="AO51" s="192">
        <f t="shared" si="34"/>
        <v>384.91165337545465</v>
      </c>
      <c r="AP51" s="192">
        <f t="shared" si="34"/>
        <v>318.34058708855684</v>
      </c>
      <c r="AQ51" s="192">
        <f t="shared" si="34"/>
        <v>553</v>
      </c>
      <c r="AR51" s="192">
        <f t="shared" si="34"/>
        <v>555.86137345134637</v>
      </c>
      <c r="AS51" s="192">
        <f t="shared" si="34"/>
        <v>77.474370579136405</v>
      </c>
      <c r="AT51" s="192">
        <f t="shared" si="34"/>
        <v>-523.64319950005074</v>
      </c>
      <c r="AU51" s="192">
        <f t="shared" si="34"/>
        <v>355</v>
      </c>
      <c r="AV51" s="192">
        <f t="shared" si="34"/>
        <v>39.400000000000006</v>
      </c>
      <c r="AW51" s="192">
        <f t="shared" si="34"/>
        <v>173.05418446802031</v>
      </c>
      <c r="AX51" s="192">
        <f t="shared" si="34"/>
        <v>213.32975916643463</v>
      </c>
      <c r="AY51" s="192">
        <f t="shared" si="34"/>
        <v>509.35598956910962</v>
      </c>
      <c r="AZ51" s="192">
        <f t="shared" si="34"/>
        <v>314.0286759448469</v>
      </c>
      <c r="BA51" s="192">
        <f t="shared" si="34"/>
        <v>7.7951257243171312E-2</v>
      </c>
      <c r="BB51" s="192">
        <f t="shared" si="34"/>
        <v>-141.52358981710881</v>
      </c>
      <c r="BC51" s="192">
        <f t="shared" si="34"/>
        <v>322.58374511949586</v>
      </c>
      <c r="BD51" s="192">
        <f>BD42-BD49</f>
        <v>107.0863141007064</v>
      </c>
    </row>
    <row r="52" spans="1:56">
      <c r="BC52" s="147"/>
      <c r="BD52" s="147"/>
    </row>
    <row r="53" spans="1:56">
      <c r="B53" s="1" t="s">
        <v>253</v>
      </c>
      <c r="BC53" s="147"/>
      <c r="BD53" s="147"/>
    </row>
  </sheetData>
  <mergeCells count="102">
    <mergeCell ref="BD6:BD7"/>
    <mergeCell ref="BD36:BD37"/>
    <mergeCell ref="BC6:BC7"/>
    <mergeCell ref="BC36:BC37"/>
    <mergeCell ref="BA6:BA7"/>
    <mergeCell ref="BB6:BB7"/>
    <mergeCell ref="BA36:BA37"/>
    <mergeCell ref="BB36:BB37"/>
    <mergeCell ref="AZ36:AZ37"/>
    <mergeCell ref="AZ6:AZ7"/>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 ref="AM6:AM7"/>
    <mergeCell ref="AM36:AM37"/>
    <mergeCell ref="AJ6:AJ7"/>
    <mergeCell ref="AJ36:AJ37"/>
    <mergeCell ref="AF6:AF7"/>
    <mergeCell ref="AF36:AF37"/>
    <mergeCell ref="AL6:AL7"/>
    <mergeCell ref="AL36:AL37"/>
    <mergeCell ref="AK6:AK7"/>
    <mergeCell ref="AK36:AK37"/>
    <mergeCell ref="K36:K37"/>
    <mergeCell ref="K6:K7"/>
    <mergeCell ref="L36:L37"/>
    <mergeCell ref="M36:M37"/>
    <mergeCell ref="N36:N37"/>
    <mergeCell ref="O36:O37"/>
    <mergeCell ref="P36:P37"/>
    <mergeCell ref="T6:T7"/>
    <mergeCell ref="L6:L7"/>
    <mergeCell ref="M6:M7"/>
    <mergeCell ref="N6:N7"/>
    <mergeCell ref="O6:O7"/>
    <mergeCell ref="P6:P7"/>
    <mergeCell ref="Q36:Q37"/>
    <mergeCell ref="R36:R37"/>
    <mergeCell ref="S36:S37"/>
    <mergeCell ref="T36:T37"/>
    <mergeCell ref="Q6:Q7"/>
    <mergeCell ref="R6:R7"/>
    <mergeCell ref="S6:S7"/>
    <mergeCell ref="C6:C7"/>
    <mergeCell ref="D6:D7"/>
    <mergeCell ref="E6:E7"/>
    <mergeCell ref="I6:I7"/>
    <mergeCell ref="J6:J7"/>
    <mergeCell ref="C36:C37"/>
    <mergeCell ref="D36:D37"/>
    <mergeCell ref="E36:E37"/>
    <mergeCell ref="I36:I37"/>
    <mergeCell ref="J36:J37"/>
    <mergeCell ref="AI6:AI7"/>
    <mergeCell ref="AI36:AI37"/>
    <mergeCell ref="AH6:AH7"/>
    <mergeCell ref="AH36:AH37"/>
    <mergeCell ref="AG6:AG7"/>
    <mergeCell ref="AG36:AG37"/>
    <mergeCell ref="AA6:AA7"/>
    <mergeCell ref="AA36:AA37"/>
    <mergeCell ref="AB6:AB7"/>
    <mergeCell ref="AB36:AB37"/>
    <mergeCell ref="AE6:AE7"/>
    <mergeCell ref="AE36:AE37"/>
    <mergeCell ref="AD6:AD7"/>
    <mergeCell ref="AD36:AD37"/>
    <mergeCell ref="AC6:AC7"/>
    <mergeCell ref="AC36:AC37"/>
    <mergeCell ref="AQ36:AQ37"/>
    <mergeCell ref="AO6:AO7"/>
    <mergeCell ref="AO36:AO37"/>
    <mergeCell ref="AQ6:AQ7"/>
    <mergeCell ref="AP6:AP7"/>
    <mergeCell ref="AP36:AP37"/>
    <mergeCell ref="AR6:AR7"/>
    <mergeCell ref="AR36:AR37"/>
    <mergeCell ref="AS36:AS37"/>
    <mergeCell ref="AU6:AU7"/>
    <mergeCell ref="AU36:AU37"/>
    <mergeCell ref="AT6:AT7"/>
    <mergeCell ref="AT36:AT37"/>
    <mergeCell ref="AY6:AY7"/>
    <mergeCell ref="AY36:AY37"/>
    <mergeCell ref="AV6:AV7"/>
    <mergeCell ref="AV36:AV37"/>
    <mergeCell ref="AS6:AS7"/>
    <mergeCell ref="AX6:AX7"/>
    <mergeCell ref="AX36:AX37"/>
    <mergeCell ref="AW6:AW7"/>
    <mergeCell ref="AW36:AW37"/>
  </mergeCells>
  <phoneticPr fontId="14" type="noConversion"/>
  <pageMargins left="0.7" right="0.7" top="0.75" bottom="0.75" header="0.3" footer="0.3"/>
  <pageSetup orientation="portrait" r:id="rId1"/>
  <ignoredErrors>
    <ignoredError sqref="AV9 I24:AI24 AU24:BC24 AK24:AS2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4:AR50"/>
  <sheetViews>
    <sheetView zoomScale="90" zoomScaleNormal="90" workbookViewId="0">
      <selection activeCell="AO49" sqref="AO49"/>
    </sheetView>
  </sheetViews>
  <sheetFormatPr defaultColWidth="11.453125" defaultRowHeight="13.5"/>
  <cols>
    <col min="1" max="1" width="2.81640625" style="1" bestFit="1" customWidth="1"/>
    <col min="2" max="2" width="58.6328125" style="1" bestFit="1" customWidth="1"/>
    <col min="3" max="4" width="7.7265625" style="1" bestFit="1" customWidth="1"/>
    <col min="5" max="5" width="7.08984375" style="1" bestFit="1" customWidth="1"/>
    <col min="6" max="6" width="11.453125" style="1"/>
    <col min="7" max="7" width="2.81640625" style="51" bestFit="1" customWidth="1"/>
    <col min="8" max="8" width="58.6328125" style="1" bestFit="1" customWidth="1"/>
    <col min="9" max="44" width="7.7265625" style="1" bestFit="1" customWidth="1"/>
    <col min="45" max="16384" width="11.453125" style="1"/>
  </cols>
  <sheetData>
    <row r="4" spans="1:44" ht="23.5">
      <c r="B4" s="11" t="s">
        <v>158</v>
      </c>
      <c r="C4" s="12"/>
      <c r="D4" s="12"/>
      <c r="E4" s="12"/>
      <c r="H4" s="11" t="s">
        <v>158</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row>
    <row r="5" spans="1:44" ht="8.25" customHeight="1"/>
    <row r="6" spans="1:44" s="110" customFormat="1" ht="15.75" customHeight="1">
      <c r="A6" s="111">
        <v>1</v>
      </c>
      <c r="B6" s="3" t="s">
        <v>159</v>
      </c>
      <c r="C6" s="208" t="s">
        <v>95</v>
      </c>
      <c r="D6" s="208" t="s">
        <v>263</v>
      </c>
      <c r="E6" s="208" t="s">
        <v>96</v>
      </c>
      <c r="G6" s="111">
        <v>1</v>
      </c>
      <c r="H6" s="3" t="s">
        <v>159</v>
      </c>
      <c r="I6" s="208" t="s">
        <v>109</v>
      </c>
      <c r="J6" s="208" t="s">
        <v>110</v>
      </c>
      <c r="K6" s="208" t="s">
        <v>111</v>
      </c>
      <c r="L6" s="208" t="s">
        <v>112</v>
      </c>
      <c r="M6" s="208" t="s">
        <v>113</v>
      </c>
      <c r="N6" s="208" t="s">
        <v>114</v>
      </c>
      <c r="O6" s="208" t="s">
        <v>115</v>
      </c>
      <c r="P6" s="208" t="s">
        <v>116</v>
      </c>
      <c r="Q6" s="208" t="s">
        <v>117</v>
      </c>
      <c r="R6" s="208" t="s">
        <v>160</v>
      </c>
      <c r="S6" s="208" t="s">
        <v>119</v>
      </c>
      <c r="T6" s="208" t="s">
        <v>120</v>
      </c>
      <c r="U6" s="208" t="s">
        <v>121</v>
      </c>
      <c r="V6" s="208" t="s">
        <v>122</v>
      </c>
      <c r="W6" s="208" t="s">
        <v>123</v>
      </c>
      <c r="X6" s="208" t="s">
        <v>124</v>
      </c>
      <c r="Y6" s="208" t="s">
        <v>125</v>
      </c>
      <c r="Z6" s="208" t="s">
        <v>126</v>
      </c>
      <c r="AA6" s="208" t="s">
        <v>127</v>
      </c>
      <c r="AB6" s="208" t="s">
        <v>128</v>
      </c>
      <c r="AC6" s="208" t="s">
        <v>129</v>
      </c>
      <c r="AD6" s="208" t="s">
        <v>130</v>
      </c>
      <c r="AE6" s="208" t="s">
        <v>131</v>
      </c>
      <c r="AF6" s="208" t="s">
        <v>132</v>
      </c>
      <c r="AG6" s="208" t="s">
        <v>133</v>
      </c>
      <c r="AH6" s="208" t="s">
        <v>134</v>
      </c>
      <c r="AI6" s="208" t="s">
        <v>135</v>
      </c>
      <c r="AJ6" s="208" t="s">
        <v>94</v>
      </c>
      <c r="AK6" s="208" t="s">
        <v>136</v>
      </c>
      <c r="AL6" s="208" t="s">
        <v>137</v>
      </c>
      <c r="AM6" s="208" t="s">
        <v>138</v>
      </c>
      <c r="AN6" s="208" t="s">
        <v>95</v>
      </c>
      <c r="AO6" s="208" t="s">
        <v>231</v>
      </c>
      <c r="AP6" s="208" t="s">
        <v>232</v>
      </c>
      <c r="AQ6" s="208" t="s">
        <v>252</v>
      </c>
      <c r="AR6" s="208" t="s">
        <v>263</v>
      </c>
    </row>
    <row r="7" spans="1:44" s="110" customFormat="1">
      <c r="A7" s="111">
        <v>2</v>
      </c>
      <c r="B7" s="3" t="s">
        <v>161</v>
      </c>
      <c r="C7" s="208"/>
      <c r="D7" s="208"/>
      <c r="E7" s="208"/>
      <c r="G7" s="111">
        <f>G6+1</f>
        <v>2</v>
      </c>
      <c r="H7" s="3" t="s">
        <v>161</v>
      </c>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row>
    <row r="8" spans="1:44" ht="6.75" customHeight="1">
      <c r="A8" s="51">
        <v>3</v>
      </c>
      <c r="G8" s="51">
        <f t="shared" ref="G8:G46" si="0">G7+1</f>
        <v>3</v>
      </c>
    </row>
    <row r="9" spans="1:44">
      <c r="A9" s="51">
        <v>4</v>
      </c>
      <c r="B9" s="2" t="s">
        <v>162</v>
      </c>
      <c r="C9" s="65">
        <f>HLOOKUP($C$6,$H$6:$AR$46,$G9,FALSE)</f>
        <v>384.52501593707285</v>
      </c>
      <c r="D9" s="65">
        <f>HLOOKUP($D$6,$H$6:$AR$46,$G9,FALSE)</f>
        <v>392.56393467999999</v>
      </c>
      <c r="E9" s="32">
        <f>D9/C9-1</f>
        <v>2.0906100799024996E-2</v>
      </c>
      <c r="G9" s="51">
        <f t="shared" si="0"/>
        <v>4</v>
      </c>
      <c r="H9" s="2" t="s">
        <v>162</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9">
        <f>SUM(AD10:AD11)</f>
        <v>513.95137935606238</v>
      </c>
      <c r="AE9" s="9">
        <v>488.1792009022243</v>
      </c>
      <c r="AF9" s="9">
        <f>+AF10+AF11</f>
        <v>555.05677058927199</v>
      </c>
      <c r="AG9" s="9">
        <v>554.58970457266503</v>
      </c>
      <c r="AH9" s="9">
        <v>546.00599498124291</v>
      </c>
      <c r="AI9" s="9">
        <v>493.77969459469466</v>
      </c>
      <c r="AJ9" s="9">
        <v>409.24974269240329</v>
      </c>
      <c r="AK9" s="9">
        <f>SUM(AK10:AK11)</f>
        <v>382.0230297160079</v>
      </c>
      <c r="AL9" s="9">
        <f t="shared" ref="AL9:AP9" si="2">SUM(AL10:AL11)</f>
        <v>425.52260173931518</v>
      </c>
      <c r="AM9" s="9">
        <f t="shared" si="2"/>
        <v>383.91263664931716</v>
      </c>
      <c r="AN9" s="9">
        <f t="shared" si="2"/>
        <v>384.52501593707285</v>
      </c>
      <c r="AO9" s="9">
        <f t="shared" si="2"/>
        <v>412.47679003441476</v>
      </c>
      <c r="AP9" s="9">
        <f t="shared" si="2"/>
        <v>402.56421763839415</v>
      </c>
      <c r="AQ9" s="9">
        <f>SUM(AQ10:AQ11)</f>
        <v>387.96235184196757</v>
      </c>
      <c r="AR9" s="9">
        <f>SUM(AR10:AR11)</f>
        <v>392.56393467999999</v>
      </c>
    </row>
    <row r="10" spans="1:44">
      <c r="A10" s="51">
        <v>5</v>
      </c>
      <c r="B10" s="4" t="s">
        <v>163</v>
      </c>
      <c r="C10" s="66">
        <f>HLOOKUP($C$6,$H$6:$AR$46,$G10,FALSE)</f>
        <v>370.87834060000057</v>
      </c>
      <c r="D10" s="66">
        <f>HLOOKUP($D$6,$H$6:$AR$46,$G10,FALSE)</f>
        <v>376.93146888000001</v>
      </c>
      <c r="E10" s="30">
        <f t="shared" ref="E10:E11" si="3">+D10/C10-1</f>
        <v>1.6321061699658079E-2</v>
      </c>
      <c r="G10" s="51">
        <f t="shared" si="0"/>
        <v>5</v>
      </c>
      <c r="H10" s="4" t="s">
        <v>163</v>
      </c>
      <c r="I10" s="38">
        <v>375.70760791999999</v>
      </c>
      <c r="J10" s="38">
        <v>387.07254207000005</v>
      </c>
      <c r="K10" s="38">
        <v>377.56387881999996</v>
      </c>
      <c r="L10" s="38">
        <v>383.95966881999999</v>
      </c>
      <c r="M10" s="38">
        <v>399.36714494</v>
      </c>
      <c r="N10" s="38">
        <v>394.71491316000004</v>
      </c>
      <c r="O10" s="38">
        <f>360.15103961-O11</f>
        <v>353.20982264000003</v>
      </c>
      <c r="P10" s="38">
        <v>378.41628665000002</v>
      </c>
      <c r="Q10" s="38">
        <v>375.03835251999999</v>
      </c>
      <c r="R10" s="38">
        <v>381.06003191000002</v>
      </c>
      <c r="S10" s="38">
        <v>352.25140654999996</v>
      </c>
      <c r="T10" s="38">
        <v>340.84477436216139</v>
      </c>
      <c r="U10" s="38">
        <v>336.26742267000003</v>
      </c>
      <c r="V10" s="38">
        <v>318.16888381999996</v>
      </c>
      <c r="W10" s="38">
        <v>339.68414925000002</v>
      </c>
      <c r="X10" s="38">
        <v>329.10525194999997</v>
      </c>
      <c r="Y10" s="38">
        <v>327.88627881999986</v>
      </c>
      <c r="Z10" s="38">
        <v>362.26222753999991</v>
      </c>
      <c r="AA10" s="38">
        <v>338.07808542000032</v>
      </c>
      <c r="AB10" s="38">
        <v>368.41671285999996</v>
      </c>
      <c r="AC10" s="38">
        <v>404.13782836000001</v>
      </c>
      <c r="AD10" s="38">
        <v>503.74487557000009</v>
      </c>
      <c r="AE10" s="38">
        <v>476.91959276999989</v>
      </c>
      <c r="AF10" s="38">
        <v>548.08563891000051</v>
      </c>
      <c r="AG10" s="38">
        <v>536.95393946000002</v>
      </c>
      <c r="AH10" s="38">
        <v>530.27113609000014</v>
      </c>
      <c r="AI10" s="38">
        <v>469.46775133999995</v>
      </c>
      <c r="AJ10" s="38">
        <v>395.8</v>
      </c>
      <c r="AK10" s="38">
        <v>366.36936132999995</v>
      </c>
      <c r="AL10" s="38">
        <v>409.62723844000004</v>
      </c>
      <c r="AM10" s="38">
        <v>371.20693197999981</v>
      </c>
      <c r="AN10" s="38">
        <v>370.87834060000057</v>
      </c>
      <c r="AO10" s="38">
        <v>397.57178101</v>
      </c>
      <c r="AP10" s="38">
        <v>387.24202250000008</v>
      </c>
      <c r="AQ10" s="38">
        <v>375.70651537999998</v>
      </c>
      <c r="AR10" s="38">
        <v>376.93146888000001</v>
      </c>
    </row>
    <row r="11" spans="1:44">
      <c r="A11" s="51">
        <v>6</v>
      </c>
      <c r="B11" s="5" t="s">
        <v>164</v>
      </c>
      <c r="C11" s="69">
        <f>HLOOKUP($C$6,$H$6:$AR$46,$G11,FALSE)</f>
        <v>13.646675337072285</v>
      </c>
      <c r="D11" s="69">
        <f>HLOOKUP($D$6,$H$6:$AR$46,$G11,FALSE)</f>
        <v>15.632465800000006</v>
      </c>
      <c r="E11" s="30">
        <f t="shared" si="3"/>
        <v>0.14551459706329806</v>
      </c>
      <c r="G11" s="51">
        <f t="shared" si="0"/>
        <v>6</v>
      </c>
      <c r="H11" s="5" t="s">
        <v>164</v>
      </c>
      <c r="I11" s="38">
        <v>6.3359166699999987</v>
      </c>
      <c r="J11" s="38">
        <v>6.4528964599999998</v>
      </c>
      <c r="K11" s="38">
        <v>6.4505465000000006</v>
      </c>
      <c r="L11" s="38">
        <v>4.8689775500000003</v>
      </c>
      <c r="M11" s="38">
        <v>7.2510529899999989</v>
      </c>
      <c r="N11" s="38">
        <v>6.0850431299999999</v>
      </c>
      <c r="O11" s="38">
        <v>6.9412169699999984</v>
      </c>
      <c r="P11" s="38">
        <v>7.2800120399999999</v>
      </c>
      <c r="Q11" s="38">
        <v>8.0183107299999996</v>
      </c>
      <c r="R11" s="38">
        <v>9.4093522699999994</v>
      </c>
      <c r="S11" s="38">
        <v>9.4606392900000014</v>
      </c>
      <c r="T11" s="38">
        <v>11.224957609999999</v>
      </c>
      <c r="U11" s="38">
        <v>6.3428692699999996</v>
      </c>
      <c r="V11" s="38">
        <v>8.3454556400000008</v>
      </c>
      <c r="W11" s="38">
        <v>4.3182503800000003</v>
      </c>
      <c r="X11" s="38">
        <v>6.635510039071038</v>
      </c>
      <c r="Y11" s="38">
        <v>7.698992169456119</v>
      </c>
      <c r="Z11" s="38">
        <v>9.9065902154420691</v>
      </c>
      <c r="AA11" s="38">
        <v>18.999526859682689</v>
      </c>
      <c r="AB11" s="38">
        <v>6.4957161222843425</v>
      </c>
      <c r="AC11" s="38">
        <v>12.693227477382838</v>
      </c>
      <c r="AD11" s="38">
        <v>10.206503786062314</v>
      </c>
      <c r="AE11" s="38">
        <v>11.259608132224447</v>
      </c>
      <c r="AF11" s="38">
        <v>6.971131679271501</v>
      </c>
      <c r="AG11" s="38">
        <v>17.6357651126646</v>
      </c>
      <c r="AH11" s="38">
        <v>15.734858891242805</v>
      </c>
      <c r="AI11" s="38">
        <v>24.311943254694487</v>
      </c>
      <c r="AJ11" s="38">
        <v>13.430127822403218</v>
      </c>
      <c r="AK11" s="38">
        <v>15.653668386007975</v>
      </c>
      <c r="AL11" s="38">
        <v>15.895363299315107</v>
      </c>
      <c r="AM11" s="38">
        <v>12.705704669317338</v>
      </c>
      <c r="AN11" s="38">
        <v>13.646675337072285</v>
      </c>
      <c r="AO11" s="38">
        <v>14.905009024414774</v>
      </c>
      <c r="AP11" s="38">
        <v>15.322195138394058</v>
      </c>
      <c r="AQ11" s="38">
        <v>12.255836461967583</v>
      </c>
      <c r="AR11" s="38">
        <v>15.632465800000006</v>
      </c>
    </row>
    <row r="12" spans="1:44" ht="5.25" customHeight="1">
      <c r="A12" s="51">
        <v>7</v>
      </c>
      <c r="C12" s="67"/>
      <c r="D12" s="67"/>
      <c r="E12" s="33"/>
      <c r="G12" s="51">
        <f t="shared" si="0"/>
        <v>7</v>
      </c>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row>
    <row r="13" spans="1:44">
      <c r="A13" s="51">
        <v>8</v>
      </c>
      <c r="B13" s="6" t="s">
        <v>165</v>
      </c>
      <c r="C13" s="65">
        <f t="shared" ref="C13:C19" si="4">HLOOKUP($C$6,$H$6:$AR$46,$G13,FALSE)</f>
        <v>-169.74386961281996</v>
      </c>
      <c r="D13" s="65">
        <f t="shared" ref="D13:D19" si="5">HLOOKUP($D$6,$H$6:$AR$46,$G13,FALSE)</f>
        <v>-181.62195711000012</v>
      </c>
      <c r="E13" s="32">
        <f>D13/C13-1</f>
        <v>6.997653302162643E-2</v>
      </c>
      <c r="G13" s="51">
        <f t="shared" si="0"/>
        <v>8</v>
      </c>
      <c r="H13" s="6" t="s">
        <v>165</v>
      </c>
      <c r="I13" s="9">
        <f t="shared" ref="I13:AF13" si="6">SUM(I14:I19)</f>
        <v>-201.61834733999999</v>
      </c>
      <c r="J13" s="9">
        <f t="shared" si="6"/>
        <v>-209.72360940999999</v>
      </c>
      <c r="K13" s="9">
        <f t="shared" si="6"/>
        <v>-182.83798649000002</v>
      </c>
      <c r="L13" s="9">
        <f t="shared" si="6"/>
        <v>-161.49980806000002</v>
      </c>
      <c r="M13" s="9">
        <f t="shared" si="6"/>
        <v>-214.61205498000001</v>
      </c>
      <c r="N13" s="9">
        <f t="shared" si="6"/>
        <v>-218.94480712000001</v>
      </c>
      <c r="O13" s="9">
        <f t="shared" si="6"/>
        <v>-176.48669952</v>
      </c>
      <c r="P13" s="9">
        <f t="shared" si="6"/>
        <v>-145.51666410999999</v>
      </c>
      <c r="Q13" s="9">
        <f t="shared" si="6"/>
        <v>-197.76414062000003</v>
      </c>
      <c r="R13" s="9">
        <f t="shared" si="6"/>
        <v>-191.37367252999999</v>
      </c>
      <c r="S13" s="9">
        <f t="shared" si="6"/>
        <v>-160.20363063999997</v>
      </c>
      <c r="T13" s="9">
        <f t="shared" si="6"/>
        <v>-142.64274646084766</v>
      </c>
      <c r="U13" s="9">
        <f t="shared" si="6"/>
        <v>-144.02327721</v>
      </c>
      <c r="V13" s="9">
        <f t="shared" si="6"/>
        <v>-144.97976937000001</v>
      </c>
      <c r="W13" s="9">
        <f t="shared" si="6"/>
        <v>-141.80259100999999</v>
      </c>
      <c r="X13" s="9">
        <f t="shared" si="6"/>
        <v>-123.59622957000001</v>
      </c>
      <c r="Y13" s="9">
        <f t="shared" si="6"/>
        <v>-163.24753229999999</v>
      </c>
      <c r="Z13" s="9">
        <f t="shared" si="6"/>
        <v>-189.5021886297589</v>
      </c>
      <c r="AA13" s="9">
        <f t="shared" si="6"/>
        <v>-253.26415183148549</v>
      </c>
      <c r="AB13" s="9">
        <f t="shared" si="6"/>
        <v>-175.95880556875565</v>
      </c>
      <c r="AC13" s="9">
        <f t="shared" si="6"/>
        <v>-237.66753002999999</v>
      </c>
      <c r="AD13" s="9">
        <f t="shared" si="6"/>
        <v>-326.46387163163115</v>
      </c>
      <c r="AE13" s="9">
        <f t="shared" si="6"/>
        <v>-248.62421244836861</v>
      </c>
      <c r="AF13" s="9">
        <f t="shared" si="6"/>
        <v>-256.67572530163108</v>
      </c>
      <c r="AG13" s="9">
        <v>-323.60366723210336</v>
      </c>
      <c r="AH13" s="9">
        <v>-370.00231048850736</v>
      </c>
      <c r="AI13" s="9">
        <v>-228.49979299767796</v>
      </c>
      <c r="AJ13" s="9">
        <v>-208.03253989325097</v>
      </c>
      <c r="AK13" s="9">
        <f>SUM(AK14:AK19)</f>
        <v>-196.42901586754701</v>
      </c>
      <c r="AL13" s="9">
        <f t="shared" ref="AL13:AP13" si="7">SUM(AL14:AL19)</f>
        <v>-233.46882151348822</v>
      </c>
      <c r="AM13" s="9">
        <f t="shared" si="7"/>
        <v>-172.60299499363373</v>
      </c>
      <c r="AN13" s="9">
        <f t="shared" si="7"/>
        <v>-169.74386961281996</v>
      </c>
      <c r="AO13" s="9">
        <f t="shared" si="7"/>
        <v>-191.31091658158488</v>
      </c>
      <c r="AP13" s="9">
        <f t="shared" si="7"/>
        <v>-215.33088638973706</v>
      </c>
      <c r="AQ13" s="9">
        <f>SUM(AQ14:AQ19)</f>
        <v>-220.37118936567501</v>
      </c>
      <c r="AR13" s="9">
        <f>SUM(AR14:AR19)</f>
        <v>-181.62195711000012</v>
      </c>
    </row>
    <row r="14" spans="1:44">
      <c r="A14" s="51">
        <v>9</v>
      </c>
      <c r="B14" s="5" t="s">
        <v>166</v>
      </c>
      <c r="C14" s="68">
        <f t="shared" si="4"/>
        <v>-40.44430187999999</v>
      </c>
      <c r="D14" s="68">
        <f t="shared" si="5"/>
        <v>-46.223919560000034</v>
      </c>
      <c r="E14" s="30">
        <f>+D14/C14-1</f>
        <v>0.14290313867076798</v>
      </c>
      <c r="G14" s="51">
        <f t="shared" si="0"/>
        <v>9</v>
      </c>
      <c r="H14" s="5" t="s">
        <v>166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8">
        <v>-36.782159120000003</v>
      </c>
      <c r="AE14" s="8">
        <v>-31.631071659999989</v>
      </c>
      <c r="AF14" s="8">
        <v>-34.650141210000029</v>
      </c>
      <c r="AG14" s="8">
        <v>-38.440342030000004</v>
      </c>
      <c r="AH14" s="8">
        <v>-41.919932799999991</v>
      </c>
      <c r="AI14" s="8">
        <v>-30.538348980000031</v>
      </c>
      <c r="AJ14" s="8">
        <v>-29.637286639999957</v>
      </c>
      <c r="AK14" s="8">
        <v>-34.153910349999997</v>
      </c>
      <c r="AL14" s="8">
        <v>-35.519112319999984</v>
      </c>
      <c r="AM14" s="8">
        <v>-48.877445140000013</v>
      </c>
      <c r="AN14" s="8">
        <v>-40.44430187999999</v>
      </c>
      <c r="AO14" s="8">
        <v>-48.466087640000005</v>
      </c>
      <c r="AP14" s="8">
        <v>-48.539506299999992</v>
      </c>
      <c r="AQ14" s="8">
        <v>-44.547722539999974</v>
      </c>
      <c r="AR14" s="8">
        <v>-46.223919560000034</v>
      </c>
    </row>
    <row r="15" spans="1:44">
      <c r="A15" s="51">
        <v>10</v>
      </c>
      <c r="B15" s="5" t="s">
        <v>167</v>
      </c>
      <c r="C15" s="68">
        <f t="shared" si="4"/>
        <v>-44.792686549999971</v>
      </c>
      <c r="D15" s="68">
        <f t="shared" si="5"/>
        <v>-35.712970769999998</v>
      </c>
      <c r="E15" s="31">
        <f t="shared" ref="E15:E19" si="8">+D15/C15-1</f>
        <v>-0.20270531819663717</v>
      </c>
      <c r="G15" s="51">
        <f t="shared" si="0"/>
        <v>10</v>
      </c>
      <c r="H15" s="5" t="s">
        <v>167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8">
        <v>-40.373698689999998</v>
      </c>
      <c r="AE15" s="8">
        <v>-37.324889650000003</v>
      </c>
      <c r="AF15" s="8">
        <v>-37.634012129999988</v>
      </c>
      <c r="AG15" s="8">
        <v>-32.855387869999994</v>
      </c>
      <c r="AH15" s="8">
        <v>-72.982813530000016</v>
      </c>
      <c r="AI15" s="8">
        <v>-66.236618530000015</v>
      </c>
      <c r="AJ15" s="8">
        <v>-50.984763069999957</v>
      </c>
      <c r="AK15" s="8">
        <v>-10.784789839999998</v>
      </c>
      <c r="AL15" s="8">
        <v>-20.608091000000002</v>
      </c>
      <c r="AM15" s="8">
        <v>-21.47029775</v>
      </c>
      <c r="AN15" s="8">
        <v>-44.792686549999971</v>
      </c>
      <c r="AO15" s="8">
        <v>-22.13711172</v>
      </c>
      <c r="AP15" s="8">
        <v>-32.963505429999998</v>
      </c>
      <c r="AQ15" s="8">
        <v>-63.668075689999995</v>
      </c>
      <c r="AR15" s="8">
        <v>-35.712970769999998</v>
      </c>
    </row>
    <row r="16" spans="1:44">
      <c r="A16" s="51">
        <v>11</v>
      </c>
      <c r="B16" s="5" t="s">
        <v>168</v>
      </c>
      <c r="C16" s="68">
        <f t="shared" si="4"/>
        <v>-48.752507539999954</v>
      </c>
      <c r="D16" s="68">
        <f t="shared" si="5"/>
        <v>-65.248473789999977</v>
      </c>
      <c r="E16" s="31">
        <f t="shared" si="8"/>
        <v>0.33836139067237903</v>
      </c>
      <c r="G16" s="51">
        <f t="shared" si="0"/>
        <v>11</v>
      </c>
      <c r="H16" s="5" t="s">
        <v>168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8">
        <v>-150.17607264000003</v>
      </c>
      <c r="AE16" s="8">
        <v>-115.32812763999988</v>
      </c>
      <c r="AF16" s="8">
        <v>-135.2557122500001</v>
      </c>
      <c r="AG16" s="8">
        <v>-178.62920137</v>
      </c>
      <c r="AH16" s="8">
        <v>-163.91900953999996</v>
      </c>
      <c r="AI16" s="8">
        <v>-77.22432807000007</v>
      </c>
      <c r="AJ16" s="8">
        <v>-79.244384589999953</v>
      </c>
      <c r="AK16" s="8">
        <v>-94.007109159999999</v>
      </c>
      <c r="AL16" s="8">
        <v>-124.38943083999996</v>
      </c>
      <c r="AM16" s="8">
        <v>-60.110263990000078</v>
      </c>
      <c r="AN16" s="8">
        <v>-48.752507539999954</v>
      </c>
      <c r="AO16" s="8">
        <v>-83.243278219999993</v>
      </c>
      <c r="AP16" s="8">
        <v>-97.338191219999985</v>
      </c>
      <c r="AQ16" s="8">
        <v>-80.797853210000042</v>
      </c>
      <c r="AR16" s="8">
        <v>-65.248473789999977</v>
      </c>
    </row>
    <row r="17" spans="1:44">
      <c r="A17" s="51">
        <v>12</v>
      </c>
      <c r="B17" s="5" t="s">
        <v>169</v>
      </c>
      <c r="C17" s="68">
        <f t="shared" si="4"/>
        <v>-1.1793407099999991</v>
      </c>
      <c r="D17" s="68">
        <f t="shared" si="5"/>
        <v>-2.0070400899999967</v>
      </c>
      <c r="E17" s="31">
        <f t="shared" si="8"/>
        <v>0.70183228051204849</v>
      </c>
      <c r="G17" s="51">
        <f t="shared" si="0"/>
        <v>12</v>
      </c>
      <c r="H17" s="5" t="s">
        <v>169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8">
        <v>-50.793224300000006</v>
      </c>
      <c r="AE17" s="8">
        <v>-7.2131222800000003</v>
      </c>
      <c r="AF17" s="8">
        <v>-5.3518450999999914</v>
      </c>
      <c r="AG17" s="8">
        <v>-7.3668896100000003</v>
      </c>
      <c r="AH17" s="8">
        <v>-8.7086812399999971</v>
      </c>
      <c r="AI17" s="8">
        <v>-4.2798112499999981</v>
      </c>
      <c r="AJ17" s="8">
        <v>-1.171573740000003</v>
      </c>
      <c r="AK17" s="8">
        <v>-0.97015418999999992</v>
      </c>
      <c r="AL17" s="8">
        <v>-2.77359168</v>
      </c>
      <c r="AM17" s="8">
        <v>-1.1605387700000005</v>
      </c>
      <c r="AN17" s="8">
        <v>-1.1793407099999991</v>
      </c>
      <c r="AO17" s="8">
        <v>-1.8139338399999998</v>
      </c>
      <c r="AP17" s="8">
        <v>-9.0758459599999988</v>
      </c>
      <c r="AQ17" s="8">
        <v>-1.6337859100000038</v>
      </c>
      <c r="AR17" s="8">
        <v>-2.0070400899999967</v>
      </c>
    </row>
    <row r="18" spans="1:44">
      <c r="A18" s="51">
        <v>13</v>
      </c>
      <c r="B18" s="5" t="s">
        <v>170</v>
      </c>
      <c r="C18" s="68">
        <f t="shared" si="4"/>
        <v>-4.0719472400000143</v>
      </c>
      <c r="D18" s="68">
        <f t="shared" si="5"/>
        <v>-4.626606139999998</v>
      </c>
      <c r="E18" s="31">
        <f t="shared" si="8"/>
        <v>0.13621465783038533</v>
      </c>
      <c r="G18" s="51">
        <f t="shared" si="0"/>
        <v>13</v>
      </c>
      <c r="H18" s="5" t="s">
        <v>170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8">
        <v>-31.993431799999996</v>
      </c>
      <c r="AE18" s="8">
        <v>-41.567252299999993</v>
      </c>
      <c r="AF18" s="8">
        <v>-21.827071390000015</v>
      </c>
      <c r="AG18" s="8">
        <v>-45.669600989999999</v>
      </c>
      <c r="AH18" s="8">
        <v>-55.675935639999999</v>
      </c>
      <c r="AI18" s="8">
        <v>-22.305689220000012</v>
      </c>
      <c r="AJ18" s="8">
        <v>-19.688287360000004</v>
      </c>
      <c r="AK18" s="8">
        <v>-33.493438950000005</v>
      </c>
      <c r="AL18" s="8">
        <v>-27.649152689999994</v>
      </c>
      <c r="AM18" s="8">
        <v>-18.556322349999995</v>
      </c>
      <c r="AN18" s="8">
        <v>-4.0719472400000143</v>
      </c>
      <c r="AO18" s="8">
        <v>-11.190888200000002</v>
      </c>
      <c r="AP18" s="8">
        <v>-0.49072630999999767</v>
      </c>
      <c r="AQ18" s="8">
        <v>-1.2726798000000006</v>
      </c>
      <c r="AR18" s="8">
        <v>-4.626606139999998</v>
      </c>
    </row>
    <row r="19" spans="1:44">
      <c r="A19" s="51">
        <v>14</v>
      </c>
      <c r="B19" s="5" t="s">
        <v>171</v>
      </c>
      <c r="C19" s="68">
        <f t="shared" si="4"/>
        <v>-30.503085692820033</v>
      </c>
      <c r="D19" s="68">
        <f t="shared" si="5"/>
        <v>-27.802946760000083</v>
      </c>
      <c r="E19" s="31">
        <f t="shared" si="8"/>
        <v>-8.8520189728068188E-2</v>
      </c>
      <c r="G19" s="51">
        <f t="shared" si="0"/>
        <v>14</v>
      </c>
      <c r="H19" s="5" t="s">
        <v>171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-19.634493189758892</v>
      </c>
      <c r="AA19" s="8">
        <v>-15.4740785814855</v>
      </c>
      <c r="AB19" s="8">
        <v>-15.873187958755778</v>
      </c>
      <c r="AC19" s="8">
        <v>-15.109327309999999</v>
      </c>
      <c r="AD19" s="8">
        <v>-16.34528508163109</v>
      </c>
      <c r="AE19" s="8">
        <v>-15.559748918368783</v>
      </c>
      <c r="AF19" s="8">
        <v>-21.956943221630951</v>
      </c>
      <c r="AG19" s="8">
        <v>-20.642245362103388</v>
      </c>
      <c r="AH19" s="8">
        <v>-26.8</v>
      </c>
      <c r="AI19" s="8">
        <v>-27.914996947677867</v>
      </c>
      <c r="AJ19" s="8">
        <v>-27.306244493251082</v>
      </c>
      <c r="AK19" s="8">
        <v>-23.019613377547007</v>
      </c>
      <c r="AL19" s="8">
        <v>-22.529442983488291</v>
      </c>
      <c r="AM19" s="8">
        <v>-22.428126993633672</v>
      </c>
      <c r="AN19" s="8">
        <v>-30.503085692820033</v>
      </c>
      <c r="AO19" s="8">
        <v>-24.459616961584899</v>
      </c>
      <c r="AP19" s="8">
        <v>-26.923111169737105</v>
      </c>
      <c r="AQ19" s="8">
        <v>-28.451072215675019</v>
      </c>
      <c r="AR19" s="8">
        <v>-27.802946760000083</v>
      </c>
    </row>
    <row r="20" spans="1:44" ht="5.25" customHeight="1">
      <c r="A20" s="51">
        <v>15</v>
      </c>
      <c r="E20" s="33"/>
      <c r="G20" s="51">
        <f t="shared" si="0"/>
        <v>15</v>
      </c>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row>
    <row r="21" spans="1:44">
      <c r="A21" s="51">
        <v>16</v>
      </c>
      <c r="B21" s="6" t="s">
        <v>172</v>
      </c>
      <c r="C21" s="9">
        <f>HLOOKUP($C$6,$H$6:$AR$46,$G21,FALSE)</f>
        <v>214.78114632425289</v>
      </c>
      <c r="D21" s="9">
        <f>HLOOKUP($D$6,$H$6:$AR$46,$G21,FALSE)</f>
        <v>210.94197756999986</v>
      </c>
      <c r="E21" s="32">
        <f>D21/C21-1</f>
        <v>-1.7874794040148578E-2</v>
      </c>
      <c r="G21" s="51">
        <f t="shared" si="0"/>
        <v>16</v>
      </c>
      <c r="H21" s="6" t="s">
        <v>172</v>
      </c>
      <c r="I21" s="9">
        <f t="shared" ref="I21:AB21" si="9">I9+I13</f>
        <v>180.42517725000002</v>
      </c>
      <c r="J21" s="9">
        <f t="shared" si="9"/>
        <v>183.80182912000004</v>
      </c>
      <c r="K21" s="9">
        <f t="shared" si="9"/>
        <v>201.17643882999991</v>
      </c>
      <c r="L21" s="9">
        <f t="shared" si="9"/>
        <v>227.32883830999998</v>
      </c>
      <c r="M21" s="9">
        <f t="shared" si="9"/>
        <v>192.00614295</v>
      </c>
      <c r="N21" s="9">
        <f t="shared" si="9"/>
        <v>181.85514917</v>
      </c>
      <c r="O21" s="9">
        <f t="shared" si="9"/>
        <v>183.66434009</v>
      </c>
      <c r="P21" s="9">
        <f t="shared" si="9"/>
        <v>240.17963458</v>
      </c>
      <c r="Q21" s="9">
        <f t="shared" si="9"/>
        <v>185.29252262999995</v>
      </c>
      <c r="R21" s="9">
        <f t="shared" si="9"/>
        <v>199.09571165000003</v>
      </c>
      <c r="S21" s="9">
        <f t="shared" si="9"/>
        <v>201.5084152</v>
      </c>
      <c r="T21" s="9">
        <f t="shared" si="9"/>
        <v>209.42698551131372</v>
      </c>
      <c r="U21" s="9">
        <f t="shared" si="9"/>
        <v>198.58701473000002</v>
      </c>
      <c r="V21" s="9">
        <f t="shared" si="9"/>
        <v>181.53457008999996</v>
      </c>
      <c r="W21" s="9">
        <f t="shared" si="9"/>
        <v>202.19980862000003</v>
      </c>
      <c r="X21" s="9">
        <f t="shared" si="9"/>
        <v>212.14453241907103</v>
      </c>
      <c r="Y21" s="9">
        <f t="shared" si="9"/>
        <v>172.33773868945599</v>
      </c>
      <c r="Z21" s="9">
        <f t="shared" si="9"/>
        <v>182.66662912568307</v>
      </c>
      <c r="AA21" s="9">
        <f t="shared" si="9"/>
        <v>103.81346044819753</v>
      </c>
      <c r="AB21" s="9">
        <f t="shared" si="9"/>
        <v>198.95362341352867</v>
      </c>
      <c r="AC21" s="9">
        <f>AC9+AC13</f>
        <v>179.16352580738285</v>
      </c>
      <c r="AD21" s="9">
        <f t="shared" ref="AD21:AI21" si="10">AD9+AD13</f>
        <v>187.48750772443123</v>
      </c>
      <c r="AE21" s="9">
        <f t="shared" si="10"/>
        <v>239.55498845385569</v>
      </c>
      <c r="AF21" s="9">
        <f t="shared" si="10"/>
        <v>298.38104528764092</v>
      </c>
      <c r="AG21" s="9">
        <f t="shared" si="10"/>
        <v>230.98603734056167</v>
      </c>
      <c r="AH21" s="9">
        <f t="shared" si="10"/>
        <v>176.00368449273554</v>
      </c>
      <c r="AI21" s="9">
        <f t="shared" si="10"/>
        <v>265.2799015970167</v>
      </c>
      <c r="AJ21" s="9">
        <v>201.21720279915232</v>
      </c>
      <c r="AK21" s="9">
        <f>AK9+AK13</f>
        <v>185.59401384846089</v>
      </c>
      <c r="AL21" s="9">
        <f t="shared" ref="AL21:AP21" si="11">AL9+AL13</f>
        <v>192.05378022582696</v>
      </c>
      <c r="AM21" s="9">
        <f t="shared" si="11"/>
        <v>211.30964165568344</v>
      </c>
      <c r="AN21" s="9">
        <f t="shared" si="11"/>
        <v>214.78114632425289</v>
      </c>
      <c r="AO21" s="9">
        <f t="shared" si="11"/>
        <v>221.16587345282989</v>
      </c>
      <c r="AP21" s="9">
        <f t="shared" si="11"/>
        <v>187.23333124865709</v>
      </c>
      <c r="AQ21" s="9">
        <f>AQ9+AQ13</f>
        <v>167.59116247629257</v>
      </c>
      <c r="AR21" s="9">
        <f>AR9+AR13</f>
        <v>210.94197756999986</v>
      </c>
    </row>
    <row r="22" spans="1:44" ht="5.25" customHeight="1">
      <c r="A22" s="51">
        <v>17</v>
      </c>
      <c r="E22" s="33"/>
      <c r="G22" s="51">
        <f t="shared" si="0"/>
        <v>17</v>
      </c>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row>
    <row r="23" spans="1:44">
      <c r="A23" s="51">
        <v>18</v>
      </c>
      <c r="B23" s="5" t="s">
        <v>173</v>
      </c>
      <c r="C23" s="68">
        <f>HLOOKUP($C$6,$H$6:$AR$46,$G23,FALSE)</f>
        <v>-24.188756279110653</v>
      </c>
      <c r="D23" s="68">
        <f>HLOOKUP($D$6,$H$6:$AR$46,$G23,FALSE)</f>
        <v>-25.557064450000016</v>
      </c>
      <c r="E23" s="30">
        <f>+D23/C23-1</f>
        <v>5.6567942357211187E-2</v>
      </c>
      <c r="G23" s="51">
        <f t="shared" si="0"/>
        <v>18</v>
      </c>
      <c r="H23" s="5" t="s">
        <v>173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8">
        <v>-21.183490919894481</v>
      </c>
      <c r="AE23" s="8">
        <v>-20.735013258669198</v>
      </c>
      <c r="AF23" s="8">
        <v>-21.867187204425903</v>
      </c>
      <c r="AG23" s="8">
        <v>-22.214295176369102</v>
      </c>
      <c r="AH23" s="8">
        <v>-23.362683803273899</v>
      </c>
      <c r="AI23" s="8">
        <v>-23.810750728135329</v>
      </c>
      <c r="AJ23" s="8">
        <v>-22.412236887902981</v>
      </c>
      <c r="AK23" s="8">
        <v>-21.269593603994846</v>
      </c>
      <c r="AL23" s="8">
        <v>-23.066342836885912</v>
      </c>
      <c r="AM23" s="8">
        <v>-23.567796771010915</v>
      </c>
      <c r="AN23" s="8">
        <v>-24.188756279110653</v>
      </c>
      <c r="AO23" s="8">
        <v>-25.044677520000004</v>
      </c>
      <c r="AP23" s="8">
        <v>-27.214885630000001</v>
      </c>
      <c r="AQ23" s="8">
        <v>-25.30951297999999</v>
      </c>
      <c r="AR23" s="8">
        <v>-25.557064450000016</v>
      </c>
    </row>
    <row r="24" spans="1:44">
      <c r="A24" s="51">
        <v>19</v>
      </c>
      <c r="B24" s="5" t="s">
        <v>174</v>
      </c>
      <c r="C24" s="68">
        <f>HLOOKUP($C$6,$H$6:$AR$46,$G24,FALSE)</f>
        <v>-17.806586337452174</v>
      </c>
      <c r="D24" s="68">
        <f>HLOOKUP($D$6,$H$6:$AR$46,$G24,FALSE)</f>
        <v>-20.91672734999996</v>
      </c>
      <c r="E24" s="30">
        <f>+D24/C24-1</f>
        <v>0.17466239477952605</v>
      </c>
      <c r="G24" s="51">
        <f t="shared" si="0"/>
        <v>19</v>
      </c>
      <c r="H24" s="5" t="s">
        <v>174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8">
        <v>-13.441127820000059</v>
      </c>
      <c r="AE24" s="8">
        <v>-13.674871421631149</v>
      </c>
      <c r="AF24" s="8">
        <v>-16.762059948368872</v>
      </c>
      <c r="AG24" s="8">
        <v>-16.607401639999985</v>
      </c>
      <c r="AH24" s="8">
        <v>-17.842765067743098</v>
      </c>
      <c r="AI24" s="8">
        <v>-15.310860021401904</v>
      </c>
      <c r="AJ24" s="8">
        <v>-17.964501218992371</v>
      </c>
      <c r="AK24" s="8">
        <v>-16.862101925413924</v>
      </c>
      <c r="AL24" s="8">
        <v>-16.534317547918839</v>
      </c>
      <c r="AM24" s="8">
        <v>-18.088542519072924</v>
      </c>
      <c r="AN24" s="8">
        <v>-17.806586337452174</v>
      </c>
      <c r="AO24" s="8">
        <v>-17.607555809941566</v>
      </c>
      <c r="AP24" s="8">
        <v>-19.392360850058431</v>
      </c>
      <c r="AQ24" s="8">
        <v>-16.808690970000001</v>
      </c>
      <c r="AR24" s="8">
        <v>-20.91672734999996</v>
      </c>
    </row>
    <row r="25" spans="1:44">
      <c r="A25" s="51">
        <v>20</v>
      </c>
      <c r="B25" s="5" t="s">
        <v>175</v>
      </c>
      <c r="C25" s="68">
        <f>HLOOKUP($C$6,$H$6:$AR$46,$G25,FALSE)</f>
        <v>-58.570988929842613</v>
      </c>
      <c r="D25" s="68">
        <f>HLOOKUP($D$6,$H$6:$AR$46,$G25,FALSE)</f>
        <v>-71.186556499999924</v>
      </c>
      <c r="E25" s="30">
        <f t="shared" ref="E25" si="12">+D25/C25-1</f>
        <v>0.21538935573152895</v>
      </c>
      <c r="G25" s="51">
        <f t="shared" si="0"/>
        <v>20</v>
      </c>
      <c r="H25" s="5" t="s">
        <v>175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8">
        <v>-55.281998485673071</v>
      </c>
      <c r="AE25" s="8">
        <v>-54.018260034138393</v>
      </c>
      <c r="AF25" s="8">
        <v>-57.392497615271211</v>
      </c>
      <c r="AG25" s="8">
        <v>-50.573471804234366</v>
      </c>
      <c r="AH25" s="8">
        <v>-50.337763983271351</v>
      </c>
      <c r="AI25" s="8">
        <v>-49.882055320398415</v>
      </c>
      <c r="AJ25" s="8">
        <v>-55.087872643454496</v>
      </c>
      <c r="AK25" s="8">
        <v>-50.939496457200093</v>
      </c>
      <c r="AL25" s="8">
        <v>-51.630923461265709</v>
      </c>
      <c r="AM25" s="8">
        <v>-54.093937569490805</v>
      </c>
      <c r="AN25" s="8">
        <v>-58.570988929842613</v>
      </c>
      <c r="AO25" s="8">
        <v>-56.727963400000007</v>
      </c>
      <c r="AP25" s="8">
        <v>-57.894397150000003</v>
      </c>
      <c r="AQ25" s="8">
        <v>-65.514062700000053</v>
      </c>
      <c r="AR25" s="8">
        <v>-71.186556499999924</v>
      </c>
    </row>
    <row r="26" spans="1:44" ht="5.25" customHeight="1">
      <c r="A26" s="51">
        <v>21</v>
      </c>
      <c r="E26" s="33"/>
      <c r="G26" s="51">
        <f t="shared" si="0"/>
        <v>21</v>
      </c>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row>
    <row r="27" spans="1:44">
      <c r="A27" s="51">
        <v>22</v>
      </c>
      <c r="B27" s="6" t="s">
        <v>176</v>
      </c>
      <c r="C27" s="9">
        <f>HLOOKUP($C$6,$H$6:$AR$46,$G27,FALSE)</f>
        <v>114.21481477784745</v>
      </c>
      <c r="D27" s="9">
        <f>HLOOKUP($D$6,$H$6:$AR$46,$G27,FALSE)</f>
        <v>93.281629269999968</v>
      </c>
      <c r="E27" s="32">
        <f>D27/C27-1</f>
        <v>-0.18327907416006761</v>
      </c>
      <c r="G27" s="51">
        <f t="shared" si="0"/>
        <v>22</v>
      </c>
      <c r="H27" s="6" t="s">
        <v>176</v>
      </c>
      <c r="I27" s="9">
        <f t="shared" ref="I27:AB27" si="13">I25+I24+I23+I21</f>
        <v>95.228464370000012</v>
      </c>
      <c r="J27" s="9">
        <f t="shared" si="13"/>
        <v>98.105426650000027</v>
      </c>
      <c r="K27" s="9">
        <f t="shared" si="13"/>
        <v>114.49318724999991</v>
      </c>
      <c r="L27" s="9">
        <f t="shared" si="13"/>
        <v>160.81527597999997</v>
      </c>
      <c r="M27" s="9">
        <f t="shared" si="13"/>
        <v>104.95895720999999</v>
      </c>
      <c r="N27" s="9">
        <f t="shared" si="13"/>
        <v>95.177728439999996</v>
      </c>
      <c r="O27" s="9">
        <f t="shared" si="13"/>
        <v>96.846453629999999</v>
      </c>
      <c r="P27" s="9">
        <f t="shared" si="13"/>
        <v>150.14625531999999</v>
      </c>
      <c r="Q27" s="9">
        <f t="shared" si="13"/>
        <v>101.55787685999995</v>
      </c>
      <c r="R27" s="9">
        <f t="shared" si="13"/>
        <v>107.79504349000003</v>
      </c>
      <c r="S27" s="9">
        <f t="shared" si="13"/>
        <v>114.86247155000001</v>
      </c>
      <c r="T27" s="9">
        <f t="shared" si="13"/>
        <v>122.25991159131371</v>
      </c>
      <c r="U27" s="9">
        <f t="shared" si="13"/>
        <v>111.77414360000003</v>
      </c>
      <c r="V27" s="9">
        <f t="shared" si="13"/>
        <v>94.280945699999961</v>
      </c>
      <c r="W27" s="9">
        <f t="shared" si="13"/>
        <v>112.88332715000003</v>
      </c>
      <c r="X27" s="9">
        <f t="shared" si="13"/>
        <v>116.98639696786805</v>
      </c>
      <c r="Y27" s="9">
        <f>Y25+Y24+Y23+Y21</f>
        <v>81.928218009471976</v>
      </c>
      <c r="Z27" s="9">
        <f t="shared" si="13"/>
        <v>94.606332354181603</v>
      </c>
      <c r="AA27" s="9">
        <f t="shared" si="13"/>
        <v>18.88394693551561</v>
      </c>
      <c r="AB27" s="9">
        <f t="shared" si="13"/>
        <v>111.6159681870228</v>
      </c>
      <c r="AC27" s="9">
        <f>AC25+AC24+AC23+AC21</f>
        <v>92.770078490742222</v>
      </c>
      <c r="AD27" s="9">
        <f t="shared" ref="AD27:AI27" si="14">AD25+AD24+AD23+AD21</f>
        <v>97.58089049886361</v>
      </c>
      <c r="AE27" s="9">
        <f t="shared" si="14"/>
        <v>151.12684373941693</v>
      </c>
      <c r="AF27" s="9">
        <f t="shared" si="14"/>
        <v>202.35930051957493</v>
      </c>
      <c r="AG27" s="9">
        <f t="shared" si="14"/>
        <v>141.59086871995822</v>
      </c>
      <c r="AH27" s="9">
        <f t="shared" si="14"/>
        <v>84.460471638447203</v>
      </c>
      <c r="AI27" s="9">
        <f t="shared" si="14"/>
        <v>176.27623552708104</v>
      </c>
      <c r="AJ27" s="9">
        <v>105.7</v>
      </c>
      <c r="AK27" s="9">
        <f>AK21+SUM(AK23:AK25)</f>
        <v>96.522821861852023</v>
      </c>
      <c r="AL27" s="9">
        <f t="shared" ref="AL27:AP27" si="15">AL21+SUM(AL23:AL25)</f>
        <v>100.82219637975649</v>
      </c>
      <c r="AM27" s="9">
        <f t="shared" si="15"/>
        <v>115.5593647961088</v>
      </c>
      <c r="AN27" s="9">
        <f t="shared" si="15"/>
        <v>114.21481477784745</v>
      </c>
      <c r="AO27" s="9">
        <f t="shared" si="15"/>
        <v>121.78567672288831</v>
      </c>
      <c r="AP27" s="9">
        <f t="shared" si="15"/>
        <v>82.731687618598656</v>
      </c>
      <c r="AQ27" s="9">
        <f>AQ21+SUM(AQ23:AQ25)</f>
        <v>59.958895826292519</v>
      </c>
      <c r="AR27" s="9">
        <f>AR21+SUM(AR23:AR25)</f>
        <v>93.281629269999968</v>
      </c>
    </row>
    <row r="28" spans="1:44" ht="5.25" customHeight="1">
      <c r="A28" s="51">
        <v>23</v>
      </c>
      <c r="C28" s="41">
        <f>HLOOKUP($C$6,$H$6:$AR$46,$G28,FALSE)</f>
        <v>0</v>
      </c>
      <c r="D28" s="41">
        <f>HLOOKUP($D$6,$H$6:$AR$46,$G28,FALSE)</f>
        <v>0</v>
      </c>
      <c r="E28" s="33"/>
      <c r="G28" s="51">
        <f t="shared" si="0"/>
        <v>23</v>
      </c>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row>
    <row r="29" spans="1:44">
      <c r="A29" s="51">
        <v>24</v>
      </c>
      <c r="B29" s="6" t="s">
        <v>177</v>
      </c>
      <c r="C29" s="9">
        <f>HLOOKUP($C$6,$H$6:$AR$46,$G29,FALSE)</f>
        <v>172.78580370769006</v>
      </c>
      <c r="D29" s="9">
        <f>HLOOKUP($D$6,$H$6:$AR$46,$G29,FALSE)</f>
        <v>164.46818576999988</v>
      </c>
      <c r="E29" s="32">
        <f>D29/C29-1</f>
        <v>-4.8138317843296252E-2</v>
      </c>
      <c r="G29" s="51">
        <f t="shared" si="0"/>
        <v>24</v>
      </c>
      <c r="H29" s="6" t="s">
        <v>177</v>
      </c>
      <c r="I29" s="9">
        <f>+I21+I23+I24</f>
        <v>154.80143864000004</v>
      </c>
      <c r="J29" s="9">
        <f>+J21+J23+J24</f>
        <v>158.47682742000003</v>
      </c>
      <c r="K29" s="9">
        <f>+K21+K23+K24</f>
        <v>174.02438614999991</v>
      </c>
      <c r="L29" s="9">
        <f t="shared" ref="L29:X29" si="16">+L21+L23+L24</f>
        <v>204.82729756999998</v>
      </c>
      <c r="M29" s="9">
        <f t="shared" si="16"/>
        <v>163.57798306000001</v>
      </c>
      <c r="N29" s="9">
        <f t="shared" si="16"/>
        <v>154.00076002999998</v>
      </c>
      <c r="O29" s="9">
        <f t="shared" si="16"/>
        <v>156.33994453</v>
      </c>
      <c r="P29" s="9">
        <f t="shared" si="16"/>
        <v>210.16529512</v>
      </c>
      <c r="Q29" s="9">
        <f t="shared" si="16"/>
        <v>161.57641708999995</v>
      </c>
      <c r="R29" s="9">
        <f t="shared" si="16"/>
        <v>173.76847530000003</v>
      </c>
      <c r="S29" s="9">
        <f t="shared" si="16"/>
        <v>178.71600819</v>
      </c>
      <c r="T29" s="9">
        <f t="shared" si="16"/>
        <v>182.93678496131372</v>
      </c>
      <c r="U29" s="9">
        <f t="shared" si="16"/>
        <v>172.34723633000002</v>
      </c>
      <c r="V29" s="9">
        <f t="shared" si="16"/>
        <v>155.26443031999995</v>
      </c>
      <c r="W29" s="9">
        <f t="shared" si="16"/>
        <v>174.98602269000003</v>
      </c>
      <c r="X29" s="9">
        <f t="shared" si="16"/>
        <v>179.94179880786803</v>
      </c>
      <c r="Y29" s="9">
        <f>+Y21+Y23+Y24</f>
        <v>137.35431132242536</v>
      </c>
      <c r="Z29" s="9">
        <v>146.74054928974263</v>
      </c>
      <c r="AA29" s="9">
        <v>71.8350810880561</v>
      </c>
      <c r="AB29" s="9">
        <v>164.267167127025</v>
      </c>
      <c r="AC29" s="9">
        <f>+AC21+AC23+AC24</f>
        <v>145.59138903727734</v>
      </c>
      <c r="AD29" s="9">
        <f t="shared" ref="AD29:AF29" si="17">+AD21+AD23+AD24</f>
        <v>152.86288898453668</v>
      </c>
      <c r="AE29" s="9">
        <f t="shared" si="17"/>
        <v>205.14510377355535</v>
      </c>
      <c r="AF29" s="9">
        <f t="shared" si="17"/>
        <v>259.75179813484618</v>
      </c>
      <c r="AG29" s="9">
        <v>192.16434052419214</v>
      </c>
      <c r="AH29" s="9">
        <v>134.79823562171856</v>
      </c>
      <c r="AI29" s="9">
        <v>226.15829084747958</v>
      </c>
      <c r="AJ29" s="9">
        <v>160.78787264345451</v>
      </c>
      <c r="AK29" s="9">
        <f>AK27-AK25</f>
        <v>147.46231831905212</v>
      </c>
      <c r="AL29" s="9">
        <f t="shared" ref="AL29:AP29" si="18">AL27-AL25</f>
        <v>152.45311984102221</v>
      </c>
      <c r="AM29" s="9">
        <f t="shared" si="18"/>
        <v>169.65330236559959</v>
      </c>
      <c r="AN29" s="9">
        <f t="shared" si="18"/>
        <v>172.78580370769006</v>
      </c>
      <c r="AO29" s="9">
        <f t="shared" si="18"/>
        <v>178.51364012288832</v>
      </c>
      <c r="AP29" s="9">
        <f t="shared" si="18"/>
        <v>140.62608476859867</v>
      </c>
      <c r="AQ29" s="9">
        <f>AQ27-AQ25</f>
        <v>125.47295852629257</v>
      </c>
      <c r="AR29" s="9">
        <f>AR27-AR25</f>
        <v>164.46818576999988</v>
      </c>
    </row>
    <row r="30" spans="1:44" ht="5.25" customHeight="1">
      <c r="A30" s="51">
        <v>25</v>
      </c>
      <c r="E30" s="33"/>
      <c r="G30" s="51">
        <f t="shared" si="0"/>
        <v>25</v>
      </c>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row>
    <row r="31" spans="1:44">
      <c r="A31" s="51">
        <v>26</v>
      </c>
      <c r="B31" s="5" t="s">
        <v>178</v>
      </c>
      <c r="C31" s="68">
        <f>HLOOKUP($C$6,$H$6:$AR$46,$G31,FALSE)</f>
        <v>9.0989360799999979</v>
      </c>
      <c r="D31" s="68">
        <f>HLOOKUP($D$6,$H$6:$AR$46,$G31,FALSE)</f>
        <v>10.375145120000006</v>
      </c>
      <c r="E31" s="30">
        <f t="shared" ref="E31:E46" si="19">+D31/C31-1</f>
        <v>0.14025914994668343</v>
      </c>
      <c r="F31" s="28"/>
      <c r="G31" s="51">
        <f t="shared" si="0"/>
        <v>26</v>
      </c>
      <c r="H31" s="5" t="s">
        <v>178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0.94209771000000031</v>
      </c>
      <c r="AB31" s="8">
        <v>1.6097711700000004</v>
      </c>
      <c r="AC31" s="8">
        <v>2.5259432800000003</v>
      </c>
      <c r="AD31" s="8">
        <v>4.2250459843980348</v>
      </c>
      <c r="AE31" s="8">
        <v>7.3874657411628988</v>
      </c>
      <c r="AF31" s="8">
        <v>14.91344703571135</v>
      </c>
      <c r="AG31" s="8">
        <v>15.365280552356621</v>
      </c>
      <c r="AH31" s="8">
        <v>16.451581692819204</v>
      </c>
      <c r="AI31" s="8">
        <v>17.627596034824165</v>
      </c>
      <c r="AJ31" s="8">
        <v>18.48180084000002</v>
      </c>
      <c r="AK31" s="8">
        <v>15.29416582</v>
      </c>
      <c r="AL31" s="8">
        <v>14.078773010000003</v>
      </c>
      <c r="AM31" s="8">
        <v>12.529303899999995</v>
      </c>
      <c r="AN31" s="8">
        <v>9.0989360799999979</v>
      </c>
      <c r="AO31" s="8">
        <v>8.9197177500000002</v>
      </c>
      <c r="AP31" s="8">
        <v>9.87079284</v>
      </c>
      <c r="AQ31" s="8">
        <v>9.9809975999999985</v>
      </c>
      <c r="AR31" s="8">
        <v>10.375145120000006</v>
      </c>
    </row>
    <row r="32" spans="1:44">
      <c r="A32" s="51">
        <v>27</v>
      </c>
      <c r="B32" s="5" t="s">
        <v>179</v>
      </c>
      <c r="C32" s="68">
        <f>HLOOKUP($C$6,$H$6:$AR$46,$G32,FALSE)</f>
        <v>-17.110528370318903</v>
      </c>
      <c r="D32" s="68">
        <f>HLOOKUP($D$6,$H$6:$AR$46,$G32,FALSE)</f>
        <v>-29.495339473125</v>
      </c>
      <c r="E32" s="30">
        <f t="shared" si="19"/>
        <v>0.72381231220712272</v>
      </c>
      <c r="F32" s="28"/>
      <c r="G32" s="51">
        <f t="shared" si="0"/>
        <v>27</v>
      </c>
      <c r="H32" s="5" t="s">
        <v>179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-20.987745436041493</v>
      </c>
      <c r="AB32" s="8">
        <v>-21.766330402300618</v>
      </c>
      <c r="AC32" s="8">
        <v>-20.906411121174919</v>
      </c>
      <c r="AD32" s="8">
        <v>-20.635669950752792</v>
      </c>
      <c r="AE32" s="8">
        <v>-22.785253226507663</v>
      </c>
      <c r="AF32" s="8">
        <v>-24.395230660146005</v>
      </c>
      <c r="AG32" s="8">
        <v>-23.11978156029533</v>
      </c>
      <c r="AH32" s="8">
        <v>-22.06252987141508</v>
      </c>
      <c r="AI32" s="8">
        <v>-21.005091499536356</v>
      </c>
      <c r="AJ32" s="8">
        <v>-19.221141649354195</v>
      </c>
      <c r="AK32" s="8">
        <v>-18.378650219894105</v>
      </c>
      <c r="AL32" s="8">
        <v>-17.561106996494978</v>
      </c>
      <c r="AM32" s="8">
        <v>-17.239421995156263</v>
      </c>
      <c r="AN32" s="8">
        <v>-17.110528370318903</v>
      </c>
      <c r="AO32" s="8">
        <v>-18.353329338142188</v>
      </c>
      <c r="AP32" s="8">
        <v>-19.126369321278709</v>
      </c>
      <c r="AQ32" s="8">
        <v>-27.127772970199139</v>
      </c>
      <c r="AR32" s="8">
        <v>-29.495339473125</v>
      </c>
    </row>
    <row r="33" spans="1:44">
      <c r="A33" s="51">
        <v>28</v>
      </c>
      <c r="B33" s="5" t="s">
        <v>180</v>
      </c>
      <c r="C33" s="68">
        <f>HLOOKUP($C$6,$H$6:$AR$46,$G33,FALSE)</f>
        <v>-4.8931765584808993</v>
      </c>
      <c r="D33" s="68">
        <f>HLOOKUP($D$6,$H$6:$AR$46,$G33,FALSE)</f>
        <v>2.041492149999991</v>
      </c>
      <c r="E33" s="42" t="s">
        <v>144</v>
      </c>
      <c r="F33" s="28"/>
      <c r="G33" s="51">
        <f t="shared" si="0"/>
        <v>28</v>
      </c>
      <c r="H33" s="5" t="s">
        <v>180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-10.346410574453799</v>
      </c>
      <c r="AB33" s="8">
        <v>-1.342467725717956</v>
      </c>
      <c r="AC33" s="8">
        <v>1.4876076806860126</v>
      </c>
      <c r="AD33" s="8">
        <v>-10.969921269768113</v>
      </c>
      <c r="AE33" s="8">
        <v>-3.4658735660401963</v>
      </c>
      <c r="AF33" s="8">
        <v>10.286615351774458</v>
      </c>
      <c r="AG33" s="8">
        <v>0.95713189204547977</v>
      </c>
      <c r="AH33" s="8">
        <v>-3.10953099316851</v>
      </c>
      <c r="AI33" s="8">
        <v>-3.990900343067572</v>
      </c>
      <c r="AJ33" s="8">
        <v>-0.51166641962980686</v>
      </c>
      <c r="AK33" s="8">
        <v>0.60277939670193192</v>
      </c>
      <c r="AL33" s="8">
        <v>-0.42599784710967148</v>
      </c>
      <c r="AM33" s="8">
        <v>3.2717103442165922</v>
      </c>
      <c r="AN33" s="8">
        <v>-4.8931765584808993</v>
      </c>
      <c r="AO33" s="8">
        <v>2.9222131756458105</v>
      </c>
      <c r="AP33" s="8">
        <v>0.22531929944309681</v>
      </c>
      <c r="AQ33" s="8">
        <v>1.3401476852846987</v>
      </c>
      <c r="AR33" s="8">
        <v>2.041492149999991</v>
      </c>
    </row>
    <row r="34" spans="1:44">
      <c r="A34" s="51">
        <v>29</v>
      </c>
      <c r="B34" s="5" t="s">
        <v>181</v>
      </c>
      <c r="C34" s="68">
        <f>HLOOKUP($C$6,$H$6:$AR$46,$G34,FALSE)</f>
        <v>2.8018337499999997</v>
      </c>
      <c r="D34" s="68">
        <f>HLOOKUP($D$6,$H$6:$AR$46,$G34,FALSE)</f>
        <v>2.7710760699999994</v>
      </c>
      <c r="E34" s="30">
        <f t="shared" si="19"/>
        <v>-1.0977696303358542E-2</v>
      </c>
      <c r="F34" s="28"/>
      <c r="G34" s="51">
        <f t="shared" si="0"/>
        <v>29</v>
      </c>
      <c r="H34" s="5" t="s">
        <v>181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2.0504456300000005</v>
      </c>
      <c r="AB34" s="8">
        <v>1.3235566899999993</v>
      </c>
      <c r="AC34" s="8">
        <v>2.6146828799999997</v>
      </c>
      <c r="AD34" s="8">
        <v>2.6078981699999999</v>
      </c>
      <c r="AE34" s="8">
        <v>3.1942974499999992</v>
      </c>
      <c r="AF34" s="8">
        <v>3.7476725300000004</v>
      </c>
      <c r="AG34" s="8">
        <v>4.0273403800000001</v>
      </c>
      <c r="AH34" s="8">
        <v>3.3727477199999996</v>
      </c>
      <c r="AI34" s="8">
        <v>2.8216744500000015</v>
      </c>
      <c r="AJ34" s="8">
        <v>2.9199357299999988</v>
      </c>
      <c r="AK34" s="8">
        <v>3.0067959500000003</v>
      </c>
      <c r="AL34" s="8">
        <v>3.3325563399999996</v>
      </c>
      <c r="AM34" s="8">
        <v>3.1898200699999983</v>
      </c>
      <c r="AN34" s="8">
        <v>2.8018337499999997</v>
      </c>
      <c r="AO34" s="8">
        <v>3.2693498999999999</v>
      </c>
      <c r="AP34" s="8">
        <v>3.3040840899999999</v>
      </c>
      <c r="AQ34" s="8">
        <v>3.05397988</v>
      </c>
      <c r="AR34" s="8">
        <v>2.7710760699999994</v>
      </c>
    </row>
    <row r="35" spans="1:44">
      <c r="A35" s="51">
        <v>30</v>
      </c>
      <c r="B35" s="5" t="s">
        <v>182</v>
      </c>
      <c r="C35" s="68">
        <f>HLOOKUP($C$6,$H$6:$AR$46,$G35,FALSE)</f>
        <v>-35.465814822148971</v>
      </c>
      <c r="D35" s="68">
        <f>HLOOKUP($D$6,$H$6:$AR$46,$G35,FALSE)</f>
        <v>-41.191928846875037</v>
      </c>
      <c r="E35" s="42">
        <f t="shared" si="19"/>
        <v>0.16145446124503016</v>
      </c>
      <c r="F35" s="28"/>
      <c r="G35" s="51">
        <f t="shared" si="0"/>
        <v>30</v>
      </c>
      <c r="H35" s="5" t="s">
        <v>182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8">
        <v>-16.079428069851605</v>
      </c>
      <c r="AE35" s="8">
        <v>-18.482136920774504</v>
      </c>
      <c r="AF35" s="8">
        <v>-26.896402903285253</v>
      </c>
      <c r="AG35" s="8">
        <v>-16.478462570284481</v>
      </c>
      <c r="AH35" s="8">
        <v>94.003499069502809</v>
      </c>
      <c r="AI35" s="8">
        <v>4.081765187940178</v>
      </c>
      <c r="AJ35" s="8">
        <v>-30.108468364107267</v>
      </c>
      <c r="AK35" s="8">
        <v>-17.130353635640486</v>
      </c>
      <c r="AL35" s="8">
        <v>-11.600721922693985</v>
      </c>
      <c r="AM35" s="8">
        <v>-9.7855918722958002</v>
      </c>
      <c r="AN35" s="8">
        <v>-35.465814822148971</v>
      </c>
      <c r="AO35" s="8">
        <v>-12.898824376048465</v>
      </c>
      <c r="AP35" s="8">
        <v>-16.854983056127061</v>
      </c>
      <c r="AQ35" s="8">
        <v>-17.644521498070432</v>
      </c>
      <c r="AR35" s="8">
        <v>-41.191928846875037</v>
      </c>
    </row>
    <row r="36" spans="1:44" ht="5.25" customHeight="1">
      <c r="A36" s="51">
        <v>31</v>
      </c>
      <c r="E36" s="33"/>
      <c r="G36" s="51">
        <f t="shared" si="0"/>
        <v>31</v>
      </c>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row>
    <row r="37" spans="1:44">
      <c r="A37" s="51">
        <v>32</v>
      </c>
      <c r="B37" s="6" t="s">
        <v>183</v>
      </c>
      <c r="C37" s="9">
        <f>HLOOKUP($C$6,$H$6:$AR$46,$G37,FALSE)</f>
        <v>-45.568749920948775</v>
      </c>
      <c r="D37" s="9">
        <f>HLOOKUP($D$6,$H$6:$AR$46,$G37,FALSE)</f>
        <v>-55.499554980000042</v>
      </c>
      <c r="E37" s="60">
        <f t="shared" si="19"/>
        <v>0.21793016214574479</v>
      </c>
      <c r="F37" s="28"/>
      <c r="G37" s="51">
        <f t="shared" si="0"/>
        <v>32</v>
      </c>
      <c r="H37" s="6" t="s">
        <v>183</v>
      </c>
      <c r="I37" s="9">
        <f t="shared" ref="I37:AF37" si="20">SUM(I31:I35)</f>
        <v>-21.011590569999996</v>
      </c>
      <c r="J37" s="9">
        <f t="shared" si="20"/>
        <v>-0.89444493000000058</v>
      </c>
      <c r="K37" s="9">
        <f t="shared" si="20"/>
        <v>-19.058913140000001</v>
      </c>
      <c r="L37" s="9">
        <f t="shared" si="20"/>
        <v>-104.99515563</v>
      </c>
      <c r="M37" s="9">
        <f t="shared" si="20"/>
        <v>-16.91268376</v>
      </c>
      <c r="N37" s="9">
        <f t="shared" si="20"/>
        <v>-31.002756330000008</v>
      </c>
      <c r="O37" s="9">
        <f t="shared" si="20"/>
        <v>-20.165144160000001</v>
      </c>
      <c r="P37" s="9">
        <f t="shared" si="20"/>
        <v>-50.244271350000005</v>
      </c>
      <c r="Q37" s="9">
        <f t="shared" si="20"/>
        <v>-15.195531940000002</v>
      </c>
      <c r="R37" s="9">
        <f t="shared" si="20"/>
        <v>-27.385603370000002</v>
      </c>
      <c r="S37" s="9">
        <f t="shared" si="20"/>
        <v>-33.534353119999999</v>
      </c>
      <c r="T37" s="9">
        <f t="shared" si="20"/>
        <v>-100.25777028</v>
      </c>
      <c r="U37" s="9">
        <f t="shared" si="20"/>
        <v>-49.377285399999998</v>
      </c>
      <c r="V37" s="9">
        <f t="shared" si="20"/>
        <v>-22.110786490000002</v>
      </c>
      <c r="W37" s="9">
        <f t="shared" si="20"/>
        <v>-24.846660460000006</v>
      </c>
      <c r="X37" s="9">
        <f t="shared" si="20"/>
        <v>-207.38689343693545</v>
      </c>
      <c r="Y37" s="9">
        <f t="shared" si="20"/>
        <v>-43.865903973024921</v>
      </c>
      <c r="Z37" s="9">
        <f t="shared" si="20"/>
        <v>-40.325632815730714</v>
      </c>
      <c r="AA37" s="9">
        <f t="shared" si="20"/>
        <v>784.41152487000591</v>
      </c>
      <c r="AB37" s="9">
        <f t="shared" si="20"/>
        <v>-182.08031974939854</v>
      </c>
      <c r="AC37" s="9">
        <f t="shared" si="20"/>
        <v>-30.494588146358893</v>
      </c>
      <c r="AD37" s="9">
        <f t="shared" si="20"/>
        <v>-40.852075135974474</v>
      </c>
      <c r="AE37" s="9">
        <f t="shared" si="20"/>
        <v>-34.151500522159466</v>
      </c>
      <c r="AF37" s="9">
        <f t="shared" si="20"/>
        <v>-22.343898645945451</v>
      </c>
      <c r="AG37" s="9">
        <f>SUM(AG31:AG35)</f>
        <v>-19.248491306177712</v>
      </c>
      <c r="AH37" s="9">
        <v>88.65576761773842</v>
      </c>
      <c r="AI37" s="9">
        <v>-0.46495616983959565</v>
      </c>
      <c r="AJ37" s="9">
        <v>-28.43892535309125</v>
      </c>
      <c r="AK37" s="9">
        <f>SUM(AK31:AK35)</f>
        <v>-16.60526268883266</v>
      </c>
      <c r="AL37" s="9">
        <f t="shared" ref="AL37:AP37" si="21">SUM(AL31:AL35)</f>
        <v>-12.176497416298632</v>
      </c>
      <c r="AM37" s="9">
        <f t="shared" si="21"/>
        <v>-8.0341795532354787</v>
      </c>
      <c r="AN37" s="9">
        <f t="shared" si="21"/>
        <v>-45.568749920948775</v>
      </c>
      <c r="AO37" s="9">
        <f t="shared" si="21"/>
        <v>-16.140872888544841</v>
      </c>
      <c r="AP37" s="9">
        <f t="shared" si="21"/>
        <v>-22.581156147962673</v>
      </c>
      <c r="AQ37" s="9">
        <f>SUM(AQ31:AQ35)</f>
        <v>-30.397169302984874</v>
      </c>
      <c r="AR37" s="9">
        <f>SUM(AR31:AR35)</f>
        <v>-55.499554980000042</v>
      </c>
    </row>
    <row r="38" spans="1:44" ht="5.25" customHeight="1">
      <c r="A38" s="51">
        <v>33</v>
      </c>
      <c r="E38" s="63"/>
      <c r="G38" s="51">
        <f t="shared" si="0"/>
        <v>33</v>
      </c>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row>
    <row r="39" spans="1:44">
      <c r="A39" s="51">
        <v>34</v>
      </c>
      <c r="B39" s="6" t="s">
        <v>184</v>
      </c>
      <c r="C39" s="9">
        <f>HLOOKUP($C$6,$H$6:$AR$46,$G39,FALSE)</f>
        <v>68.646064856898676</v>
      </c>
      <c r="D39" s="9">
        <f>HLOOKUP($D$6,$H$6:$AR$46,$G39,FALSE)</f>
        <v>37.782074289999926</v>
      </c>
      <c r="E39" s="60">
        <f t="shared" si="19"/>
        <v>-0.44961048577567564</v>
      </c>
      <c r="F39" s="28"/>
      <c r="G39" s="51">
        <f t="shared" si="0"/>
        <v>34</v>
      </c>
      <c r="H39" s="6" t="s">
        <v>184</v>
      </c>
      <c r="I39" s="9">
        <f t="shared" ref="I39:Y39" si="22">I37+I27</f>
        <v>74.216873800000016</v>
      </c>
      <c r="J39" s="9">
        <f t="shared" si="22"/>
        <v>97.210981720000021</v>
      </c>
      <c r="K39" s="9">
        <f t="shared" si="22"/>
        <v>95.434274109999905</v>
      </c>
      <c r="L39" s="9">
        <f t="shared" si="22"/>
        <v>55.820120349999968</v>
      </c>
      <c r="M39" s="9">
        <f t="shared" si="22"/>
        <v>88.046273450000001</v>
      </c>
      <c r="N39" s="9">
        <f t="shared" si="22"/>
        <v>64.174972109999985</v>
      </c>
      <c r="O39" s="9">
        <f t="shared" si="22"/>
        <v>76.681309470000002</v>
      </c>
      <c r="P39" s="9">
        <f t="shared" si="22"/>
        <v>99.901983969999989</v>
      </c>
      <c r="Q39" s="9">
        <f t="shared" si="22"/>
        <v>86.362344919999941</v>
      </c>
      <c r="R39" s="9">
        <f t="shared" si="22"/>
        <v>80.409440120000028</v>
      </c>
      <c r="S39" s="9">
        <f t="shared" si="22"/>
        <v>81.328118430000018</v>
      </c>
      <c r="T39" s="9">
        <f t="shared" si="22"/>
        <v>22.002141311313707</v>
      </c>
      <c r="U39" s="9">
        <f t="shared" si="22"/>
        <v>62.396858200000032</v>
      </c>
      <c r="V39" s="9">
        <f t="shared" si="22"/>
        <v>72.170159209999952</v>
      </c>
      <c r="W39" s="9">
        <f t="shared" si="22"/>
        <v>88.036666690000018</v>
      </c>
      <c r="X39" s="9">
        <f t="shared" si="22"/>
        <v>-90.400496469067406</v>
      </c>
      <c r="Y39" s="9">
        <f t="shared" si="22"/>
        <v>38.062314036447056</v>
      </c>
      <c r="Z39" s="9">
        <f t="shared" ref="Z39:AR39" si="23">Z37+Z27</f>
        <v>54.280699538450889</v>
      </c>
      <c r="AA39" s="9">
        <f t="shared" si="23"/>
        <v>803.29547180552152</v>
      </c>
      <c r="AB39" s="9">
        <f t="shared" si="23"/>
        <v>-70.464351562375739</v>
      </c>
      <c r="AC39" s="9">
        <f t="shared" si="23"/>
        <v>62.275490344383329</v>
      </c>
      <c r="AD39" s="9">
        <f t="shared" si="23"/>
        <v>56.728815362889137</v>
      </c>
      <c r="AE39" s="9">
        <f t="shared" si="23"/>
        <v>116.97534321725746</v>
      </c>
      <c r="AF39" s="9">
        <f t="shared" si="23"/>
        <v>180.01540187362949</v>
      </c>
      <c r="AG39" s="9">
        <f t="shared" si="23"/>
        <v>122.34237741378051</v>
      </c>
      <c r="AH39" s="9">
        <f t="shared" si="23"/>
        <v>173.11623925618562</v>
      </c>
      <c r="AI39" s="9">
        <f t="shared" si="23"/>
        <v>175.81127935724146</v>
      </c>
      <c r="AJ39" s="9">
        <f t="shared" si="23"/>
        <v>77.261074646908753</v>
      </c>
      <c r="AK39" s="9">
        <f t="shared" si="23"/>
        <v>79.917559173019356</v>
      </c>
      <c r="AL39" s="9">
        <f t="shared" si="23"/>
        <v>88.64569896345786</v>
      </c>
      <c r="AM39" s="9">
        <f t="shared" si="23"/>
        <v>107.52518524287332</v>
      </c>
      <c r="AN39" s="9">
        <f t="shared" si="23"/>
        <v>68.646064856898676</v>
      </c>
      <c r="AO39" s="9">
        <f t="shared" si="23"/>
        <v>105.64480383434346</v>
      </c>
      <c r="AP39" s="9">
        <f t="shared" si="23"/>
        <v>60.150531470635983</v>
      </c>
      <c r="AQ39" s="9">
        <f t="shared" si="23"/>
        <v>29.561726523307644</v>
      </c>
      <c r="AR39" s="9">
        <f t="shared" si="23"/>
        <v>37.782074289999926</v>
      </c>
    </row>
    <row r="40" spans="1:44" ht="5.25" customHeight="1">
      <c r="A40" s="51">
        <v>35</v>
      </c>
      <c r="E40" s="63"/>
      <c r="G40" s="51">
        <f t="shared" si="0"/>
        <v>35</v>
      </c>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row>
    <row r="41" spans="1:44">
      <c r="A41" s="51">
        <v>36</v>
      </c>
      <c r="B41" s="5" t="s">
        <v>185</v>
      </c>
      <c r="C41" s="68">
        <f>HLOOKUP($C$6,$H$6:$AR$46,$G41,FALSE)</f>
        <v>-14.510160670110398</v>
      </c>
      <c r="D41" s="68">
        <f>HLOOKUP($D$6,$H$6:$AR$46,$G41,FALSE)</f>
        <v>-6.7073271000000005</v>
      </c>
      <c r="E41" s="42">
        <f t="shared" si="19"/>
        <v>-0.53774963265455222</v>
      </c>
      <c r="F41" s="28"/>
      <c r="G41" s="51">
        <f t="shared" si="0"/>
        <v>36</v>
      </c>
      <c r="H41" s="5" t="s">
        <v>185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-202.39452647333047</v>
      </c>
      <c r="AB41" s="8">
        <v>18.076551095056629</v>
      </c>
      <c r="AC41" s="8">
        <v>-6.3894801624248103</v>
      </c>
      <c r="AD41" s="8">
        <v>-19.026564867421037</v>
      </c>
      <c r="AE41" s="8">
        <v>-36.315230687438586</v>
      </c>
      <c r="AF41" s="8">
        <v>-43.801853936794899</v>
      </c>
      <c r="AG41" s="8">
        <v>-30.363846805485231</v>
      </c>
      <c r="AH41" s="8">
        <v>-41.897685534137572</v>
      </c>
      <c r="AI41" s="8">
        <v>-51.413406697886153</v>
      </c>
      <c r="AJ41" s="8">
        <v>-21.067441790824098</v>
      </c>
      <c r="AK41" s="8">
        <v>-21.08849933620964</v>
      </c>
      <c r="AL41" s="8">
        <v>-27.175659390229544</v>
      </c>
      <c r="AM41" s="8">
        <v>-24.803361216954865</v>
      </c>
      <c r="AN41" s="8">
        <v>-14.510160670110398</v>
      </c>
      <c r="AO41" s="8">
        <v>-23.254707843044876</v>
      </c>
      <c r="AP41" s="8">
        <v>-11.925988454357373</v>
      </c>
      <c r="AQ41" s="8">
        <v>-4.280111263613982</v>
      </c>
      <c r="AR41" s="8">
        <v>-6.7073271000000005</v>
      </c>
    </row>
    <row r="42" spans="1:44" ht="6.75" customHeight="1">
      <c r="A42" s="51">
        <v>37</v>
      </c>
      <c r="E42" s="63"/>
      <c r="G42" s="51">
        <f t="shared" si="0"/>
        <v>37</v>
      </c>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row>
    <row r="43" spans="1:44">
      <c r="A43" s="51">
        <v>38</v>
      </c>
      <c r="B43" s="3" t="s">
        <v>186</v>
      </c>
      <c r="C43" s="16">
        <f>HLOOKUP($C$6,$H$6:$AR$46,$G43,FALSE)</f>
        <v>54.135904186788281</v>
      </c>
      <c r="D43" s="16">
        <f>HLOOKUP($D$6,$H$6:$AR$46,$G43,FALSE)</f>
        <v>31.074747189999925</v>
      </c>
      <c r="E43" s="43">
        <f t="shared" si="19"/>
        <v>-0.42598636419222069</v>
      </c>
      <c r="F43" s="28"/>
      <c r="G43" s="51">
        <f t="shared" si="0"/>
        <v>38</v>
      </c>
      <c r="H43" s="3" t="s">
        <v>186</v>
      </c>
      <c r="I43" s="16">
        <f t="shared" ref="I43:V43" si="24">I39+I41</f>
        <v>60.521821480000014</v>
      </c>
      <c r="J43" s="16">
        <f t="shared" si="24"/>
        <v>78.328132860000025</v>
      </c>
      <c r="K43" s="16">
        <f t="shared" si="24"/>
        <v>70.210792779999906</v>
      </c>
      <c r="L43" s="16">
        <f t="shared" si="24"/>
        <v>79.54130951999997</v>
      </c>
      <c r="M43" s="16">
        <f t="shared" si="24"/>
        <v>64.406698590000005</v>
      </c>
      <c r="N43" s="16">
        <f t="shared" si="24"/>
        <v>44.764812869999986</v>
      </c>
      <c r="O43" s="16">
        <f t="shared" si="24"/>
        <v>53.879768609999999</v>
      </c>
      <c r="P43" s="16">
        <f t="shared" si="24"/>
        <v>67.335081529999997</v>
      </c>
      <c r="Q43" s="16">
        <f t="shared" si="24"/>
        <v>66.334570689999936</v>
      </c>
      <c r="R43" s="16">
        <f t="shared" si="24"/>
        <v>61.375151090000031</v>
      </c>
      <c r="S43" s="16">
        <f t="shared" si="24"/>
        <v>54.692565890000019</v>
      </c>
      <c r="T43" s="16">
        <f t="shared" si="24"/>
        <v>19.483411101313706</v>
      </c>
      <c r="U43" s="16">
        <f t="shared" si="24"/>
        <v>40.459675610000033</v>
      </c>
      <c r="V43" s="16">
        <f t="shared" si="24"/>
        <v>49.667237199999953</v>
      </c>
      <c r="W43" s="16">
        <f t="shared" ref="W43:AR43" si="25">W39+W41</f>
        <v>62.207152130000019</v>
      </c>
      <c r="X43" s="16">
        <f t="shared" si="25"/>
        <v>-62.882355463006213</v>
      </c>
      <c r="Y43" s="16">
        <f t="shared" si="25"/>
        <v>-41.216113527428398</v>
      </c>
      <c r="Z43" s="16">
        <f t="shared" si="25"/>
        <v>32.884941472326346</v>
      </c>
      <c r="AA43" s="16">
        <f t="shared" si="25"/>
        <v>600.90094533219099</v>
      </c>
      <c r="AB43" s="16">
        <f t="shared" si="25"/>
        <v>-52.38780046731911</v>
      </c>
      <c r="AC43" s="16">
        <f t="shared" si="25"/>
        <v>55.886010181958518</v>
      </c>
      <c r="AD43" s="16">
        <f t="shared" si="25"/>
        <v>37.7022504954681</v>
      </c>
      <c r="AE43" s="16">
        <f t="shared" si="25"/>
        <v>80.660112529818875</v>
      </c>
      <c r="AF43" s="16">
        <f t="shared" si="25"/>
        <v>136.21354793683457</v>
      </c>
      <c r="AG43" s="16">
        <f t="shared" si="25"/>
        <v>91.978530608295273</v>
      </c>
      <c r="AH43" s="16">
        <f t="shared" si="25"/>
        <v>131.21855372204806</v>
      </c>
      <c r="AI43" s="16">
        <f t="shared" si="25"/>
        <v>124.3978726593553</v>
      </c>
      <c r="AJ43" s="16">
        <f t="shared" si="25"/>
        <v>56.193632856084655</v>
      </c>
      <c r="AK43" s="16">
        <f t="shared" si="25"/>
        <v>58.829059836809719</v>
      </c>
      <c r="AL43" s="16">
        <f t="shared" si="25"/>
        <v>61.47003957322832</v>
      </c>
      <c r="AM43" s="16">
        <f t="shared" si="25"/>
        <v>82.721824025918451</v>
      </c>
      <c r="AN43" s="16">
        <f t="shared" si="25"/>
        <v>54.135904186788281</v>
      </c>
      <c r="AO43" s="16">
        <f t="shared" si="25"/>
        <v>82.39009599129858</v>
      </c>
      <c r="AP43" s="16">
        <f t="shared" si="25"/>
        <v>48.224543016278609</v>
      </c>
      <c r="AQ43" s="16">
        <f t="shared" si="25"/>
        <v>25.281615259693663</v>
      </c>
      <c r="AR43" s="16">
        <f t="shared" si="25"/>
        <v>31.074747189999925</v>
      </c>
    </row>
    <row r="44" spans="1:44" ht="5.25" customHeight="1">
      <c r="A44" s="51">
        <v>39</v>
      </c>
      <c r="E44" s="70"/>
      <c r="G44" s="51">
        <f t="shared" si="0"/>
        <v>39</v>
      </c>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row>
    <row r="45" spans="1:44">
      <c r="A45" s="51">
        <v>40</v>
      </c>
      <c r="B45" s="5" t="s">
        <v>187</v>
      </c>
      <c r="C45" s="68">
        <f>HLOOKUP($C$6,$H$6:$AR$46,$G45,FALSE)</f>
        <v>53.01907394140774</v>
      </c>
      <c r="D45" s="68">
        <f>HLOOKUP($D$6,$H$6:$AR$46,$G45,FALSE)</f>
        <v>31.166127984165968</v>
      </c>
      <c r="E45" s="42">
        <f t="shared" si="19"/>
        <v>-0.41217140045470857</v>
      </c>
      <c r="F45" s="28"/>
      <c r="G45" s="51">
        <f t="shared" si="0"/>
        <v>40</v>
      </c>
      <c r="H45" s="5" t="s">
        <v>187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604.15202411343512</v>
      </c>
      <c r="AB45" s="8">
        <v>-55.052248128563633</v>
      </c>
      <c r="AC45" s="8">
        <v>47.626031201958433</v>
      </c>
      <c r="AD45" s="8">
        <v>38.84162958546812</v>
      </c>
      <c r="AE45" s="8">
        <v>80.567399019818822</v>
      </c>
      <c r="AF45" s="8">
        <v>128.93058216683488</v>
      </c>
      <c r="AG45" s="8">
        <v>87.901169138294705</v>
      </c>
      <c r="AH45" s="8">
        <v>133.9360797520479</v>
      </c>
      <c r="AI45" s="8">
        <v>117.71745612786282</v>
      </c>
      <c r="AJ45" s="8">
        <v>53.932438174886983</v>
      </c>
      <c r="AK45" s="8">
        <v>58.636304096809823</v>
      </c>
      <c r="AL45" s="8">
        <v>61.781273933228206</v>
      </c>
      <c r="AM45" s="8">
        <v>79.020418825918668</v>
      </c>
      <c r="AN45" s="8">
        <v>53.01907394140774</v>
      </c>
      <c r="AO45" s="8">
        <v>78.778176076831571</v>
      </c>
      <c r="AP45" s="8">
        <v>44.371092155990354</v>
      </c>
      <c r="AQ45" s="8">
        <v>32.891139543485849</v>
      </c>
      <c r="AR45" s="8">
        <v>31.166127984165968</v>
      </c>
    </row>
    <row r="46" spans="1:44">
      <c r="A46" s="51">
        <v>41</v>
      </c>
      <c r="B46" s="5" t="s">
        <v>188</v>
      </c>
      <c r="C46" s="68">
        <f>HLOOKUP($C$6,$H$6:$AR$46,$G46,FALSE)</f>
        <v>1.116830245380001</v>
      </c>
      <c r="D46" s="68">
        <f>HLOOKUP($D$6,$H$6:$AR$46,$G46,FALSE)</f>
        <v>-9.1380794165999646E-2</v>
      </c>
      <c r="E46" s="42">
        <f t="shared" si="19"/>
        <v>-1.0818215611047561</v>
      </c>
      <c r="F46" s="28"/>
      <c r="G46" s="51">
        <f t="shared" si="0"/>
        <v>41</v>
      </c>
      <c r="H46" s="5" t="s">
        <v>188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-3.2505878700000004</v>
      </c>
      <c r="AB46" s="8">
        <v>2.663956750000001</v>
      </c>
      <c r="AC46" s="8">
        <v>8.2599789799999996</v>
      </c>
      <c r="AD46" s="8">
        <v>-1.1350231899999992</v>
      </c>
      <c r="AE46" s="8">
        <v>9.2713509999999388E-2</v>
      </c>
      <c r="AF46" s="8">
        <v>7.2829657699999997</v>
      </c>
      <c r="AG46" s="8">
        <v>4.0773614700000005</v>
      </c>
      <c r="AH46" s="8">
        <v>-2.7175260300000006</v>
      </c>
      <c r="AI46" s="8">
        <v>6.6763542700000009</v>
      </c>
      <c r="AJ46" s="8">
        <v>2.3070095899999998</v>
      </c>
      <c r="AK46" s="8">
        <v>0.19275573999999998</v>
      </c>
      <c r="AL46" s="8">
        <v>-0.31123435999999999</v>
      </c>
      <c r="AM46" s="8">
        <v>3.7014052</v>
      </c>
      <c r="AN46" s="8">
        <v>1.116830245380001</v>
      </c>
      <c r="AO46" s="8">
        <v>3.6119199144669998</v>
      </c>
      <c r="AP46" s="8">
        <v>3.853450860288</v>
      </c>
      <c r="AQ46" s="8">
        <v>-7.6095242837920001</v>
      </c>
      <c r="AR46" s="8">
        <v>-9.1380794165999646E-2</v>
      </c>
    </row>
    <row r="47" spans="1:44">
      <c r="C47" s="70"/>
      <c r="D47" s="70"/>
    </row>
    <row r="48" spans="1:44">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row>
    <row r="49" spans="2:5" ht="76.5" customHeight="1">
      <c r="B49" s="209" t="s">
        <v>189</v>
      </c>
      <c r="C49" s="209"/>
      <c r="D49" s="209"/>
      <c r="E49" s="209"/>
    </row>
    <row r="50" spans="2:5" ht="207" customHeight="1">
      <c r="B50" s="209"/>
      <c r="C50" s="209"/>
      <c r="D50" s="209"/>
      <c r="E50" s="209"/>
    </row>
  </sheetData>
  <mergeCells count="41">
    <mergeCell ref="AR6:AR7"/>
    <mergeCell ref="AJ6:AJ7"/>
    <mergeCell ref="AN6:AN7"/>
    <mergeCell ref="AM6:AM7"/>
    <mergeCell ref="AQ6:AQ7"/>
    <mergeCell ref="AO6:AO7"/>
    <mergeCell ref="AP6:AP7"/>
    <mergeCell ref="AL6:AL7"/>
    <mergeCell ref="AK6:AK7"/>
    <mergeCell ref="T6:T7"/>
    <mergeCell ref="U6:U7"/>
    <mergeCell ref="AI6:AI7"/>
    <mergeCell ref="AH6:AH7"/>
    <mergeCell ref="AG6:AG7"/>
    <mergeCell ref="AF6:AF7"/>
    <mergeCell ref="AE6:AE7"/>
    <mergeCell ref="AD6:AD7"/>
    <mergeCell ref="AC6:AC7"/>
    <mergeCell ref="W6:W7"/>
    <mergeCell ref="V6:V7"/>
    <mergeCell ref="X6:X7"/>
    <mergeCell ref="AB6:AB7"/>
    <mergeCell ref="Y6:Y7"/>
    <mergeCell ref="AA6:AA7"/>
    <mergeCell ref="Z6:Z7"/>
    <mergeCell ref="B50:E50"/>
    <mergeCell ref="I6:I7"/>
    <mergeCell ref="J6:J7"/>
    <mergeCell ref="C6:C7"/>
    <mergeCell ref="D6:D7"/>
    <mergeCell ref="E6:E7"/>
    <mergeCell ref="B49:E49"/>
    <mergeCell ref="K6:K7"/>
    <mergeCell ref="L6:L7"/>
    <mergeCell ref="M6:M7"/>
    <mergeCell ref="O6:O7"/>
    <mergeCell ref="S6:S7"/>
    <mergeCell ref="R6:R7"/>
    <mergeCell ref="P6:P7"/>
    <mergeCell ref="Q6:Q7"/>
    <mergeCell ref="N6:N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2:BE73"/>
  <sheetViews>
    <sheetView zoomScale="90" zoomScaleNormal="90" zoomScaleSheetLayoutView="100" workbookViewId="0">
      <selection activeCell="AZ70" sqref="AZ70"/>
    </sheetView>
  </sheetViews>
  <sheetFormatPr defaultColWidth="11.453125" defaultRowHeight="13.5"/>
  <cols>
    <col min="1" max="1" width="2.81640625" style="1" customWidth="1"/>
    <col min="2" max="2" width="36.08984375" style="1" bestFit="1" customWidth="1"/>
    <col min="3" max="4" width="7.08984375" style="1" bestFit="1" customWidth="1"/>
    <col min="5" max="5" width="5.81640625" style="1" bestFit="1" customWidth="1"/>
    <col min="6" max="6" width="11.453125" style="1" customWidth="1"/>
    <col min="7" max="7" width="2.81640625" style="51" bestFit="1" customWidth="1"/>
    <col min="8" max="8" width="36.08984375" style="1" bestFit="1" customWidth="1"/>
    <col min="9" max="15" width="7.08984375" style="1" bestFit="1" customWidth="1"/>
    <col min="16" max="16" width="6.54296875" style="1" bestFit="1" customWidth="1"/>
    <col min="17" max="56" width="7.08984375" style="1" bestFit="1" customWidth="1"/>
    <col min="57" max="16384" width="11.453125" style="1"/>
  </cols>
  <sheetData>
    <row r="2" spans="1:56">
      <c r="F2" s="72"/>
      <c r="BC2" s="140"/>
    </row>
    <row r="3" spans="1:56">
      <c r="F3" s="47"/>
      <c r="BC3" s="140"/>
    </row>
    <row r="4" spans="1:56">
      <c r="BC4" s="140"/>
    </row>
    <row r="5" spans="1:56" ht="23.5">
      <c r="B5" s="11" t="s">
        <v>190</v>
      </c>
      <c r="C5" s="12"/>
      <c r="D5" s="12"/>
      <c r="E5" s="12"/>
      <c r="H5" s="11" t="s">
        <v>190</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39"/>
      <c r="BD5" s="12"/>
    </row>
    <row r="6" spans="1:56">
      <c r="AS6" s="28"/>
      <c r="AT6" s="28"/>
      <c r="AU6" s="28"/>
      <c r="AV6" s="28"/>
      <c r="AW6" s="28"/>
      <c r="AX6" s="28"/>
      <c r="AY6" s="28"/>
      <c r="AZ6" s="28"/>
      <c r="BA6" s="28"/>
      <c r="BB6" s="28"/>
      <c r="BC6" s="28"/>
      <c r="BD6" s="28"/>
    </row>
    <row r="7" spans="1:56" s="110" customFormat="1">
      <c r="A7" s="111">
        <v>1</v>
      </c>
      <c r="B7" s="3" t="s">
        <v>191</v>
      </c>
      <c r="C7" s="208" t="s">
        <v>95</v>
      </c>
      <c r="D7" s="208" t="s">
        <v>263</v>
      </c>
      <c r="E7" s="208" t="s">
        <v>192</v>
      </c>
      <c r="G7" s="111">
        <v>1</v>
      </c>
      <c r="H7" s="3" t="s">
        <v>191</v>
      </c>
      <c r="I7" s="208" t="s">
        <v>97</v>
      </c>
      <c r="J7" s="208" t="s">
        <v>98</v>
      </c>
      <c r="K7" s="208" t="s">
        <v>99</v>
      </c>
      <c r="L7" s="208" t="s">
        <v>100</v>
      </c>
      <c r="M7" s="208" t="s">
        <v>101</v>
      </c>
      <c r="N7" s="208" t="s">
        <v>102</v>
      </c>
      <c r="O7" s="208" t="s">
        <v>103</v>
      </c>
      <c r="P7" s="208" t="s">
        <v>104</v>
      </c>
      <c r="Q7" s="208" t="s">
        <v>105</v>
      </c>
      <c r="R7" s="208" t="s">
        <v>106</v>
      </c>
      <c r="S7" s="208" t="s">
        <v>107</v>
      </c>
      <c r="T7" s="208" t="s">
        <v>108</v>
      </c>
      <c r="U7" s="208" t="s">
        <v>109</v>
      </c>
      <c r="V7" s="208" t="s">
        <v>110</v>
      </c>
      <c r="W7" s="208" t="s">
        <v>111</v>
      </c>
      <c r="X7" s="208" t="s">
        <v>112</v>
      </c>
      <c r="Y7" s="208" t="s">
        <v>113</v>
      </c>
      <c r="Z7" s="208" t="s">
        <v>114</v>
      </c>
      <c r="AA7" s="208" t="s">
        <v>115</v>
      </c>
      <c r="AB7" s="208" t="s">
        <v>116</v>
      </c>
      <c r="AC7" s="208" t="s">
        <v>117</v>
      </c>
      <c r="AD7" s="208" t="s">
        <v>118</v>
      </c>
      <c r="AE7" s="208" t="s">
        <v>119</v>
      </c>
      <c r="AF7" s="208" t="s">
        <v>120</v>
      </c>
      <c r="AG7" s="208" t="s">
        <v>121</v>
      </c>
      <c r="AH7" s="208" t="s">
        <v>122</v>
      </c>
      <c r="AI7" s="208" t="s">
        <v>123</v>
      </c>
      <c r="AJ7" s="208" t="s">
        <v>124</v>
      </c>
      <c r="AK7" s="208" t="s">
        <v>125</v>
      </c>
      <c r="AL7" s="208" t="s">
        <v>126</v>
      </c>
      <c r="AM7" s="208" t="s">
        <v>127</v>
      </c>
      <c r="AN7" s="208" t="s">
        <v>128</v>
      </c>
      <c r="AO7" s="208" t="s">
        <v>129</v>
      </c>
      <c r="AP7" s="208" t="s">
        <v>130</v>
      </c>
      <c r="AQ7" s="208" t="s">
        <v>131</v>
      </c>
      <c r="AR7" s="208" t="s">
        <v>132</v>
      </c>
      <c r="AS7" s="208" t="s">
        <v>133</v>
      </c>
      <c r="AT7" s="208" t="s">
        <v>134</v>
      </c>
      <c r="AU7" s="208" t="s">
        <v>135</v>
      </c>
      <c r="AV7" s="208" t="s">
        <v>94</v>
      </c>
      <c r="AW7" s="208" t="s">
        <v>136</v>
      </c>
      <c r="AX7" s="208" t="s">
        <v>137</v>
      </c>
      <c r="AY7" s="208" t="s">
        <v>138</v>
      </c>
      <c r="AZ7" s="208" t="s">
        <v>95</v>
      </c>
      <c r="BA7" s="208" t="s">
        <v>231</v>
      </c>
      <c r="BB7" s="208" t="s">
        <v>232</v>
      </c>
      <c r="BC7" s="208" t="s">
        <v>252</v>
      </c>
      <c r="BD7" s="208" t="s">
        <v>263</v>
      </c>
    </row>
    <row r="8" spans="1:56" s="110" customFormat="1">
      <c r="A8" s="111">
        <v>2</v>
      </c>
      <c r="B8" s="3" t="s">
        <v>161</v>
      </c>
      <c r="C8" s="208"/>
      <c r="D8" s="208"/>
      <c r="E8" s="208"/>
      <c r="G8" s="111">
        <f>G7+1</f>
        <v>2</v>
      </c>
      <c r="H8" s="3" t="s">
        <v>161</v>
      </c>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row>
    <row r="9" spans="1:56">
      <c r="A9" s="51">
        <v>3</v>
      </c>
      <c r="G9" s="51">
        <f t="shared" ref="G9:G33" si="0">G8+1</f>
        <v>3</v>
      </c>
      <c r="AW9" s="185"/>
      <c r="AX9" s="185"/>
      <c r="AY9" s="185"/>
      <c r="AZ9" s="185"/>
      <c r="BA9" s="185"/>
      <c r="BB9" s="185"/>
      <c r="BC9" s="185"/>
      <c r="BD9" s="47"/>
    </row>
    <row r="10" spans="1:56">
      <c r="A10" s="51">
        <v>4</v>
      </c>
      <c r="B10" s="85" t="s">
        <v>191</v>
      </c>
      <c r="C10" s="86">
        <f t="shared" ref="C10:C15" si="1">HLOOKUP($C$7,$H$7:$BD$33,$G10,FALSE)</f>
        <v>327.16637211707251</v>
      </c>
      <c r="D10" s="86">
        <f t="shared" ref="D10:D15" si="2">HLOOKUP($D$7,$H$7:$BD$33,$G10,FALSE)</f>
        <v>334.56553214000002</v>
      </c>
      <c r="E10" s="87">
        <f t="shared" ref="E10:E33" si="3">D10/C10-1</f>
        <v>2.261589409402931E-2</v>
      </c>
      <c r="G10" s="51">
        <f t="shared" si="0"/>
        <v>4</v>
      </c>
      <c r="H10" s="85" t="s">
        <v>191</v>
      </c>
      <c r="I10" s="86">
        <f t="shared" ref="I10:AI10" si="4">SUM(I11:I15)</f>
        <v>413.24504169000005</v>
      </c>
      <c r="J10" s="86">
        <f t="shared" si="4"/>
        <v>408.02186204000003</v>
      </c>
      <c r="K10" s="86">
        <f t="shared" si="4"/>
        <v>351.24406281</v>
      </c>
      <c r="L10" s="86">
        <f t="shared" si="4"/>
        <v>330.06554598999998</v>
      </c>
      <c r="M10" s="86">
        <f t="shared" si="4"/>
        <v>317.00992109000003</v>
      </c>
      <c r="N10" s="86">
        <f t="shared" si="4"/>
        <v>358.45925773000005</v>
      </c>
      <c r="O10" s="86">
        <f t="shared" si="4"/>
        <v>336.99432981999996</v>
      </c>
      <c r="P10" s="86">
        <f t="shared" si="4"/>
        <v>295.2</v>
      </c>
      <c r="Q10" s="86">
        <f t="shared" si="4"/>
        <v>306.96104971</v>
      </c>
      <c r="R10" s="86">
        <f t="shared" si="4"/>
        <v>315.18701463999997</v>
      </c>
      <c r="S10" s="86">
        <f t="shared" si="4"/>
        <v>285.26607687999996</v>
      </c>
      <c r="T10" s="86">
        <f t="shared" si="4"/>
        <v>312.09914898</v>
      </c>
      <c r="U10" s="86">
        <f t="shared" si="4"/>
        <v>334.40723076999996</v>
      </c>
      <c r="V10" s="86">
        <f t="shared" si="4"/>
        <v>346.55393107000003</v>
      </c>
      <c r="W10" s="86">
        <f t="shared" si="4"/>
        <v>332.52042805999997</v>
      </c>
      <c r="X10" s="86">
        <f t="shared" si="4"/>
        <v>342.09300468000004</v>
      </c>
      <c r="Y10" s="86">
        <f t="shared" si="4"/>
        <v>353.94514801000003</v>
      </c>
      <c r="Z10" s="86">
        <f t="shared" si="4"/>
        <v>348.51063906000007</v>
      </c>
      <c r="AA10" s="86">
        <f t="shared" si="4"/>
        <v>320.06585212000005</v>
      </c>
      <c r="AB10" s="86">
        <f>+AB11+AB12+AB13+AB14+AB15</f>
        <v>347.33065854</v>
      </c>
      <c r="AC10" s="86">
        <f t="shared" si="4"/>
        <v>341.09638778000004</v>
      </c>
      <c r="AD10" s="86">
        <f t="shared" si="4"/>
        <v>349.16334979000004</v>
      </c>
      <c r="AE10" s="86">
        <f t="shared" si="4"/>
        <v>336.11869616000007</v>
      </c>
      <c r="AF10" s="86">
        <f>SUM(AF11:AF15)</f>
        <v>304.75488297216134</v>
      </c>
      <c r="AG10" s="86">
        <f t="shared" si="4"/>
        <v>304.92839223000004</v>
      </c>
      <c r="AH10" s="86">
        <f t="shared" si="4"/>
        <v>291.72425158999999</v>
      </c>
      <c r="AI10" s="86">
        <f t="shared" si="4"/>
        <v>301.11284210999997</v>
      </c>
      <c r="AJ10" s="86">
        <f>SUM(AJ11:AJ15)</f>
        <v>291.66198053907101</v>
      </c>
      <c r="AK10" s="86">
        <f>SUM(AK11:AK15)</f>
        <v>297.6257196794561</v>
      </c>
      <c r="AL10" s="86">
        <f>SUM(AL11:AL14)</f>
        <v>322.26952723054387</v>
      </c>
      <c r="AM10" s="86">
        <f>SUM(AM11:AM15)</f>
        <v>296.19064495000003</v>
      </c>
      <c r="AN10" s="86">
        <v>330</v>
      </c>
      <c r="AO10" s="86">
        <f>+SUM(AO11:AO15)</f>
        <v>361.71194770738282</v>
      </c>
      <c r="AP10" s="86">
        <f>+SUM(AP11:AP15)</f>
        <v>460.96481391606233</v>
      </c>
      <c r="AQ10" s="86">
        <f t="shared" ref="AQ10:AR10" si="5">+SUM(AQ11:AQ15)</f>
        <v>429.02000000000004</v>
      </c>
      <c r="AR10" s="86">
        <f t="shared" si="5"/>
        <v>469.80545140927131</v>
      </c>
      <c r="AS10" s="86">
        <f>554.589704572665-AS45</f>
        <v>495.03860299266501</v>
      </c>
      <c r="AT10" s="86">
        <f t="shared" ref="AT10:BB10" si="6">SUM(AT11:AT15)</f>
        <v>482.33148441124291</v>
      </c>
      <c r="AU10" s="86">
        <f t="shared" si="6"/>
        <v>367.22722675469447</v>
      </c>
      <c r="AV10" s="86">
        <f t="shared" si="6"/>
        <v>346.78685161240321</v>
      </c>
      <c r="AW10" s="86">
        <f t="shared" si="6"/>
        <v>331.14264505600795</v>
      </c>
      <c r="AX10" s="86">
        <f t="shared" si="6"/>
        <v>372.45664942931512</v>
      </c>
      <c r="AY10" s="86">
        <f t="shared" si="6"/>
        <v>324.18554776931705</v>
      </c>
      <c r="AZ10" s="86">
        <f t="shared" si="6"/>
        <v>327.16637211707251</v>
      </c>
      <c r="BA10" s="86">
        <f t="shared" si="6"/>
        <v>356.09783902441472</v>
      </c>
      <c r="BB10" s="86">
        <f t="shared" si="6"/>
        <v>345.25462110839408</v>
      </c>
      <c r="BC10" s="164">
        <f>SUM(BC11:BC15)</f>
        <v>327.34789664196768</v>
      </c>
      <c r="BD10" s="86">
        <f>SUM(BD11:BD15)</f>
        <v>334.56553214000002</v>
      </c>
    </row>
    <row r="11" spans="1:56">
      <c r="A11" s="51">
        <v>5</v>
      </c>
      <c r="B11" s="5" t="s">
        <v>193</v>
      </c>
      <c r="C11" s="7">
        <f t="shared" si="1"/>
        <v>38.020228710000005</v>
      </c>
      <c r="D11" s="7">
        <f t="shared" si="2"/>
        <v>42.812913569999985</v>
      </c>
      <c r="E11" s="30">
        <f t="shared" si="3"/>
        <v>0.12605618173831279</v>
      </c>
      <c r="G11" s="51">
        <f t="shared" si="0"/>
        <v>5</v>
      </c>
      <c r="H11" s="5" t="s">
        <v>193</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26.092745660000006</v>
      </c>
      <c r="AX11" s="7">
        <v>36.605826069999999</v>
      </c>
      <c r="AY11" s="7">
        <v>29.559452179999987</v>
      </c>
      <c r="AZ11" s="7">
        <v>38.020228710000005</v>
      </c>
      <c r="BA11" s="7">
        <v>52.056230579999998</v>
      </c>
      <c r="BB11" s="7">
        <v>50.888261739999997</v>
      </c>
      <c r="BC11" s="165">
        <v>51.380737209999999</v>
      </c>
      <c r="BD11" s="7">
        <v>42.812913569999985</v>
      </c>
    </row>
    <row r="12" spans="1:56">
      <c r="A12" s="51">
        <v>6</v>
      </c>
      <c r="B12" s="5" t="s">
        <v>194</v>
      </c>
      <c r="C12" s="7">
        <f t="shared" si="1"/>
        <v>260.8343726400002</v>
      </c>
      <c r="D12" s="7">
        <f t="shared" si="2"/>
        <v>262.84674356000005</v>
      </c>
      <c r="E12" s="30">
        <f t="shared" si="3"/>
        <v>7.7151293352633044E-3</v>
      </c>
      <c r="G12" s="51">
        <f t="shared" si="0"/>
        <v>6</v>
      </c>
      <c r="H12" s="5" t="s">
        <v>194</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38">
        <v>141.20456391000002</v>
      </c>
      <c r="AA12" s="38">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c r="AX12" s="7">
        <v>238.37370589000002</v>
      </c>
      <c r="AY12" s="7">
        <v>230.29345588999976</v>
      </c>
      <c r="AZ12" s="7">
        <v>260.8343726400002</v>
      </c>
      <c r="BA12" s="7">
        <v>258.61600959999998</v>
      </c>
      <c r="BB12" s="7">
        <v>275.39870221000001</v>
      </c>
      <c r="BC12" s="165">
        <v>239.72253039000009</v>
      </c>
      <c r="BD12" s="7">
        <v>262.84674356000005</v>
      </c>
    </row>
    <row r="13" spans="1:56">
      <c r="A13" s="51">
        <v>7</v>
      </c>
      <c r="B13" s="5" t="s">
        <v>195</v>
      </c>
      <c r="C13" s="38">
        <f t="shared" si="1"/>
        <v>18.83285957999999</v>
      </c>
      <c r="D13" s="38">
        <f t="shared" si="2"/>
        <v>15.763936679999986</v>
      </c>
      <c r="E13" s="42" t="s">
        <v>144</v>
      </c>
      <c r="G13" s="51">
        <f t="shared" si="0"/>
        <v>7</v>
      </c>
      <c r="H13" s="5" t="s">
        <v>195</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38">
        <v>39.212896179999994</v>
      </c>
      <c r="AA13" s="38">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38">
        <v>136.98362736999997</v>
      </c>
      <c r="AQ13" s="38">
        <v>87.56</v>
      </c>
      <c r="AR13" s="38">
        <v>71.843575979999997</v>
      </c>
      <c r="AS13" s="38">
        <v>106.50984036999999</v>
      </c>
      <c r="AT13" s="38">
        <v>103.23218716999999</v>
      </c>
      <c r="AU13" s="38">
        <v>24.150724980000007</v>
      </c>
      <c r="AV13" s="38">
        <v>3.2635667100000063</v>
      </c>
      <c r="AW13" s="57">
        <v>64.536094519999992</v>
      </c>
      <c r="AX13" s="57">
        <v>85.134310830000018</v>
      </c>
      <c r="AY13" s="57">
        <v>52.870069799999996</v>
      </c>
      <c r="AZ13" s="57">
        <v>18.83285957999999</v>
      </c>
      <c r="BA13" s="57">
        <v>34.849571450000006</v>
      </c>
      <c r="BB13" s="57">
        <v>7.0803313999999915</v>
      </c>
      <c r="BC13" s="166">
        <v>25.747969770000005</v>
      </c>
      <c r="BD13" s="57">
        <v>15.763936679999986</v>
      </c>
    </row>
    <row r="14" spans="1:56">
      <c r="A14" s="51">
        <v>8</v>
      </c>
      <c r="B14" s="5" t="s">
        <v>166</v>
      </c>
      <c r="C14" s="57">
        <f t="shared" si="1"/>
        <v>0</v>
      </c>
      <c r="D14" s="57">
        <f t="shared" si="2"/>
        <v>0</v>
      </c>
      <c r="E14" s="42" t="s">
        <v>144</v>
      </c>
      <c r="G14" s="51">
        <f t="shared" si="0"/>
        <v>8</v>
      </c>
      <c r="H14" s="5" t="s">
        <v>166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38">
        <v>13.981938399999999</v>
      </c>
      <c r="AA14" s="38">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38">
        <v>0</v>
      </c>
      <c r="AO14" s="38">
        <v>0</v>
      </c>
      <c r="AP14" s="38">
        <v>0</v>
      </c>
      <c r="AQ14" s="38">
        <v>0</v>
      </c>
      <c r="AR14" s="57" t="s">
        <v>144</v>
      </c>
      <c r="AS14" s="57">
        <v>0</v>
      </c>
      <c r="AT14" s="57">
        <v>0</v>
      </c>
      <c r="AU14" s="57">
        <v>0</v>
      </c>
      <c r="AV14" s="57" t="s">
        <v>144</v>
      </c>
      <c r="AW14" s="57"/>
      <c r="AX14" s="57"/>
      <c r="AY14" s="42"/>
      <c r="AZ14" s="42"/>
      <c r="BA14" s="42"/>
      <c r="BB14" s="42"/>
      <c r="BC14" s="144"/>
      <c r="BD14" s="42"/>
    </row>
    <row r="15" spans="1:56">
      <c r="A15" s="51">
        <v>9</v>
      </c>
      <c r="B15" s="5" t="s">
        <v>164</v>
      </c>
      <c r="C15" s="38">
        <f t="shared" si="1"/>
        <v>9.478911187072276</v>
      </c>
      <c r="D15" s="38">
        <f t="shared" si="2"/>
        <v>13.141938330000006</v>
      </c>
      <c r="E15" s="30">
        <f t="shared" si="3"/>
        <v>0.38643965225916621</v>
      </c>
      <c r="G15" s="51">
        <f t="shared" si="0"/>
        <v>9</v>
      </c>
      <c r="H15" s="5" t="s">
        <v>164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38">
        <v>5.0303974700000005</v>
      </c>
      <c r="AA15" s="38">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38">
        <v>8.4480991860623238</v>
      </c>
      <c r="AQ15" s="38">
        <v>9.98</v>
      </c>
      <c r="AR15" s="38">
        <v>5.2081105092714992</v>
      </c>
      <c r="AS15" s="38">
        <v>15.391241942664575</v>
      </c>
      <c r="AT15" s="38">
        <v>12.3802238512428</v>
      </c>
      <c r="AU15" s="38">
        <v>22.431882704694491</v>
      </c>
      <c r="AV15" s="38">
        <v>12.30670912240323</v>
      </c>
      <c r="AW15" s="38">
        <v>12.273908296007976</v>
      </c>
      <c r="AX15" s="38">
        <v>12.342806639315105</v>
      </c>
      <c r="AY15" s="38">
        <v>11.462569899317339</v>
      </c>
      <c r="AZ15" s="38">
        <v>9.478911187072276</v>
      </c>
      <c r="BA15" s="38">
        <v>10.576027394414776</v>
      </c>
      <c r="BB15" s="38">
        <v>11.887325758394059</v>
      </c>
      <c r="BC15" s="167">
        <v>10.49665927196758</v>
      </c>
      <c r="BD15" s="38">
        <v>13.141938330000006</v>
      </c>
    </row>
    <row r="16" spans="1:56">
      <c r="A16" s="51">
        <v>10</v>
      </c>
      <c r="E16" s="34"/>
      <c r="G16" s="51">
        <f t="shared" si="0"/>
        <v>10</v>
      </c>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M16" s="28"/>
      <c r="AN16" s="28"/>
      <c r="AO16" s="28"/>
      <c r="BC16" s="140"/>
    </row>
    <row r="17" spans="1:56">
      <c r="A17" s="51">
        <v>11</v>
      </c>
      <c r="B17" s="85" t="s">
        <v>196</v>
      </c>
      <c r="C17" s="88">
        <f t="shared" ref="C17:C23" si="7">HLOOKUP($C$7,$H$7:$BD$33,$G17,FALSE)</f>
        <v>-140.80200771281994</v>
      </c>
      <c r="D17" s="88">
        <f t="shared" ref="D17:D23" si="8">HLOOKUP($D$7,$H$7:$BD$33,$G17,FALSE)</f>
        <v>-149.90706487000006</v>
      </c>
      <c r="E17" s="87">
        <f>D17/C17-1</f>
        <v>6.4665677038858727E-2</v>
      </c>
      <c r="G17" s="51">
        <f t="shared" si="0"/>
        <v>11</v>
      </c>
      <c r="H17" s="85" t="s">
        <v>196</v>
      </c>
      <c r="I17" s="86">
        <f t="shared" ref="I17:AJ17" si="9">SUM(I18:I23)</f>
        <v>-275.35129532000002</v>
      </c>
      <c r="J17" s="86">
        <f t="shared" si="9"/>
        <v>-245.57660835000001</v>
      </c>
      <c r="K17" s="86">
        <f t="shared" si="9"/>
        <v>-213.76067669000003</v>
      </c>
      <c r="L17" s="86">
        <f t="shared" si="9"/>
        <v>-149.01963957999999</v>
      </c>
      <c r="M17" s="86">
        <f t="shared" si="9"/>
        <v>-205.1628939</v>
      </c>
      <c r="N17" s="86">
        <f t="shared" si="9"/>
        <v>-201.26569451</v>
      </c>
      <c r="O17" s="86">
        <f t="shared" si="9"/>
        <v>-136.02479528999999</v>
      </c>
      <c r="P17" s="86">
        <f t="shared" si="9"/>
        <v>-98.7</v>
      </c>
      <c r="Q17" s="86">
        <f t="shared" si="9"/>
        <v>-132.75843111</v>
      </c>
      <c r="R17" s="86">
        <f t="shared" si="9"/>
        <v>-150.15819938999999</v>
      </c>
      <c r="S17" s="86">
        <f t="shared" si="9"/>
        <v>-154.75086822</v>
      </c>
      <c r="T17" s="86">
        <f t="shared" si="9"/>
        <v>-142.57810221000003</v>
      </c>
      <c r="U17" s="86">
        <f t="shared" si="9"/>
        <v>-167.26441367999999</v>
      </c>
      <c r="V17" s="86">
        <f t="shared" si="9"/>
        <v>-175.75027431000001</v>
      </c>
      <c r="W17" s="86">
        <f t="shared" si="9"/>
        <v>-147.17653369000001</v>
      </c>
      <c r="X17" s="86">
        <f t="shared" si="9"/>
        <v>-124.09420446999999</v>
      </c>
      <c r="Y17" s="86">
        <f t="shared" si="9"/>
        <v>-173.83893678999999</v>
      </c>
      <c r="Z17" s="86">
        <f t="shared" si="9"/>
        <v>-181.13288132</v>
      </c>
      <c r="AA17" s="86">
        <f t="shared" si="9"/>
        <v>-146.27714492000001</v>
      </c>
      <c r="AB17" s="86">
        <f t="shared" si="9"/>
        <v>-116.73437586999998</v>
      </c>
      <c r="AC17" s="86">
        <f t="shared" si="9"/>
        <v>-170.47125767000003</v>
      </c>
      <c r="AD17" s="86">
        <f t="shared" si="9"/>
        <v>-170.79738747000002</v>
      </c>
      <c r="AE17" s="86">
        <f t="shared" si="9"/>
        <v>-152.53082833000002</v>
      </c>
      <c r="AF17" s="86">
        <f t="shared" si="9"/>
        <v>-117.26530571084766</v>
      </c>
      <c r="AG17" s="86">
        <f t="shared" si="9"/>
        <v>-128.9747912</v>
      </c>
      <c r="AH17" s="86">
        <f t="shared" si="9"/>
        <v>-125.15747811000001</v>
      </c>
      <c r="AI17" s="86">
        <f t="shared" si="9"/>
        <v>-117.61759233000001</v>
      </c>
      <c r="AJ17" s="86">
        <f t="shared" si="9"/>
        <v>-103.64530324</v>
      </c>
      <c r="AK17" s="86">
        <f t="shared" ref="AK17:AR17" si="10">+SUM(AK18:AK23)</f>
        <v>-145.81400551999999</v>
      </c>
      <c r="AL17" s="86">
        <f t="shared" si="10"/>
        <v>-174.63671665124437</v>
      </c>
      <c r="AM17" s="86">
        <f t="shared" si="10"/>
        <v>-235.42365913</v>
      </c>
      <c r="AN17" s="86">
        <f t="shared" si="10"/>
        <v>-152.81074061000007</v>
      </c>
      <c r="AO17" s="86">
        <f t="shared" si="10"/>
        <v>-211.96305361999998</v>
      </c>
      <c r="AP17" s="86">
        <f t="shared" si="10"/>
        <v>-298.74683102163107</v>
      </c>
      <c r="AQ17" s="86">
        <f t="shared" si="10"/>
        <v>-218.07999999999998</v>
      </c>
      <c r="AR17" s="86">
        <f t="shared" si="10"/>
        <v>-210.35453464999992</v>
      </c>
      <c r="AS17" s="86">
        <f>+SUM(AS18:AS23)</f>
        <v>-293.65883464210339</v>
      </c>
      <c r="AT17" s="86">
        <f t="shared" ref="AT17:BB17" si="11">SUM(AT18:AT23)</f>
        <v>-310.7</v>
      </c>
      <c r="AU17" s="86">
        <f t="shared" si="11"/>
        <v>-155.8250032176779</v>
      </c>
      <c r="AV17" s="86">
        <f t="shared" si="11"/>
        <v>-174.63225831325133</v>
      </c>
      <c r="AW17" s="86">
        <f t="shared" si="11"/>
        <v>-167.89720056754703</v>
      </c>
      <c r="AX17" s="86">
        <f t="shared" si="11"/>
        <v>-205.28038773348828</v>
      </c>
      <c r="AY17" s="86">
        <f t="shared" si="11"/>
        <v>-140.56555022363369</v>
      </c>
      <c r="AZ17" s="86">
        <f t="shared" si="11"/>
        <v>-140.80200771281994</v>
      </c>
      <c r="BA17" s="86">
        <f t="shared" si="11"/>
        <v>-161.92880499158491</v>
      </c>
      <c r="BB17" s="86">
        <f t="shared" si="11"/>
        <v>-183.34294480973699</v>
      </c>
      <c r="BC17" s="86">
        <f>SUM(BC18:BC23)</f>
        <v>-187.43152434567503</v>
      </c>
      <c r="BD17" s="86">
        <f>SUM(BD18:BD23)</f>
        <v>-149.90706487000006</v>
      </c>
    </row>
    <row r="18" spans="1:56">
      <c r="A18" s="51">
        <v>12</v>
      </c>
      <c r="B18" s="5" t="s">
        <v>166</v>
      </c>
      <c r="C18" s="57">
        <f t="shared" si="7"/>
        <v>-39.133194819999964</v>
      </c>
      <c r="D18" s="57">
        <f t="shared" si="8"/>
        <v>-44.234977039999976</v>
      </c>
      <c r="E18" s="30">
        <f t="shared" si="3"/>
        <v>0.1303696834226431</v>
      </c>
      <c r="G18" s="51">
        <f t="shared" si="0"/>
        <v>12</v>
      </c>
      <c r="H18" s="5" t="s">
        <v>166</v>
      </c>
      <c r="I18" s="38">
        <v>-48.867815859999993</v>
      </c>
      <c r="J18" s="38">
        <v>-36.536173910000002</v>
      </c>
      <c r="K18" s="38">
        <v>-36.232333570000002</v>
      </c>
      <c r="L18" s="38">
        <v>-40.281641289999996</v>
      </c>
      <c r="M18" s="38">
        <v>-39.09474281</v>
      </c>
      <c r="N18" s="38">
        <v>-34.689093559999996</v>
      </c>
      <c r="O18" s="38">
        <v>-34.50693442</v>
      </c>
      <c r="P18" s="38">
        <v>-33.299999999999997</v>
      </c>
      <c r="Q18" s="38">
        <v>-34.796432860000003</v>
      </c>
      <c r="R18" s="38">
        <v>-36.290084159999992</v>
      </c>
      <c r="S18" s="38">
        <v>-35.83344452</v>
      </c>
      <c r="T18" s="38">
        <v>-34.904950130000003</v>
      </c>
      <c r="U18" s="38">
        <v>-40.870053159999991</v>
      </c>
      <c r="V18" s="38">
        <v>-36.607482070000003</v>
      </c>
      <c r="W18" s="38">
        <v>-38.842737790000008</v>
      </c>
      <c r="X18" s="38">
        <v>-40.685668849999999</v>
      </c>
      <c r="Y18" s="38">
        <v>-39.213009910000004</v>
      </c>
      <c r="Z18" s="38">
        <v>-31.770287920000001</v>
      </c>
      <c r="AA18" s="38">
        <v>-26.527575679999998</v>
      </c>
      <c r="AB18" s="38">
        <f>+-32.17954707-AB53</f>
        <v>-32.179547069999998</v>
      </c>
      <c r="AC18" s="38">
        <f>+-32.9777754-AC53</f>
        <v>-32.4816121</v>
      </c>
      <c r="AD18" s="38">
        <f>+-34.29679217-AD53</f>
        <v>-33.566455930000004</v>
      </c>
      <c r="AE18" s="38">
        <v>-49.28598399000002</v>
      </c>
      <c r="AF18" s="38">
        <f>+-20.88005158-AF53</f>
        <v>-19.960651899999998</v>
      </c>
      <c r="AG18" s="38">
        <f>+-21.55022939-AG53</f>
        <v>-20.850229389999999</v>
      </c>
      <c r="AH18" s="38">
        <f>+-26.60999613-AH53</f>
        <v>-24.390609949999998</v>
      </c>
      <c r="AI18" s="38">
        <f>+-26.50304141-AI53</f>
        <v>-25.258113340000001</v>
      </c>
      <c r="AJ18" s="38">
        <f>+-38.09702692-AJ53</f>
        <v>-36.941916479999996</v>
      </c>
      <c r="AK18" s="38">
        <f>+-31.25610667-AK53</f>
        <v>-30.835691730000001</v>
      </c>
      <c r="AL18" s="38">
        <v>-36.579687749999998</v>
      </c>
      <c r="AM18" s="38">
        <v>-31.3</v>
      </c>
      <c r="AN18" s="38">
        <v>-28.740887379999975</v>
      </c>
      <c r="AO18" s="38">
        <v>-34.999264529999991</v>
      </c>
      <c r="AP18" s="38">
        <v>-35.361309640000002</v>
      </c>
      <c r="AQ18" s="38">
        <v>-30.31</v>
      </c>
      <c r="AR18" s="38">
        <v>-33.132624860000035</v>
      </c>
      <c r="AS18" s="38">
        <v>-37.42370777</v>
      </c>
      <c r="AT18" s="38">
        <v>-41.1</v>
      </c>
      <c r="AU18" s="38">
        <v>-28.996101320000015</v>
      </c>
      <c r="AV18" s="38">
        <v>-28.341474049999988</v>
      </c>
      <c r="AW18" s="38">
        <v>-32.837051469999999</v>
      </c>
      <c r="AX18" s="38">
        <v>-34.338893129999995</v>
      </c>
      <c r="AY18" s="38">
        <v>-47.108128770000015</v>
      </c>
      <c r="AZ18" s="38">
        <v>-39.133194819999964</v>
      </c>
      <c r="BA18" s="38">
        <v>-47.459078410000004</v>
      </c>
      <c r="BB18" s="38">
        <v>-47.355959269999985</v>
      </c>
      <c r="BC18" s="38">
        <v>-42.167074860000014</v>
      </c>
      <c r="BD18" s="38">
        <v>-44.234977039999976</v>
      </c>
    </row>
    <row r="19" spans="1:56">
      <c r="A19" s="51">
        <v>13</v>
      </c>
      <c r="B19" s="5" t="s">
        <v>167</v>
      </c>
      <c r="C19" s="57">
        <f t="shared" si="7"/>
        <v>-44.759759929999987</v>
      </c>
      <c r="D19" s="57">
        <f t="shared" si="8"/>
        <v>-34.215262860000024</v>
      </c>
      <c r="E19" s="30">
        <f t="shared" si="3"/>
        <v>-0.23557983971519403</v>
      </c>
      <c r="G19" s="51">
        <f t="shared" si="0"/>
        <v>13</v>
      </c>
      <c r="H19" s="5" t="s">
        <v>167</v>
      </c>
      <c r="I19" s="38">
        <v>-18.03067094</v>
      </c>
      <c r="J19" s="38">
        <v>-3.3591411400000002</v>
      </c>
      <c r="K19" s="38">
        <v>-20.369487509999999</v>
      </c>
      <c r="L19" s="38">
        <v>-29.147778030000001</v>
      </c>
      <c r="M19" s="38">
        <v>-4.5187954299999999</v>
      </c>
      <c r="N19" s="38">
        <v>-9.2159443799999998</v>
      </c>
      <c r="O19" s="38">
        <v>-10.38048916</v>
      </c>
      <c r="P19" s="38">
        <v>-16.5</v>
      </c>
      <c r="Q19" s="38">
        <v>-5.5495712899999994</v>
      </c>
      <c r="R19" s="38">
        <v>-6.9293658100000002</v>
      </c>
      <c r="S19" s="38">
        <v>-38.774170070000004</v>
      </c>
      <c r="T19" s="38">
        <v>-34.718472030000001</v>
      </c>
      <c r="U19" s="38">
        <v>-7.4512985600000015</v>
      </c>
      <c r="V19" s="38">
        <v>-8.1270384000000018</v>
      </c>
      <c r="W19" s="38">
        <v>-12.170216480000001</v>
      </c>
      <c r="X19" s="38">
        <v>-15.217228350000001</v>
      </c>
      <c r="Y19" s="38">
        <v>-7.642425229999998</v>
      </c>
      <c r="Z19" s="38">
        <v>-8.2504383900000011</v>
      </c>
      <c r="AA19" s="38">
        <v>-12.82375993</v>
      </c>
      <c r="AB19" s="38">
        <f>+-10.25707385-AB54</f>
        <v>-10.25332315</v>
      </c>
      <c r="AC19" s="38">
        <f>+-2.75986665-AC54</f>
        <v>-2.4879566200000003</v>
      </c>
      <c r="AD19" s="38">
        <f>+-13.18502617-AD54</f>
        <v>-12.817846660000001</v>
      </c>
      <c r="AE19" s="38">
        <v>-30.11858333</v>
      </c>
      <c r="AF19" s="38">
        <f>+-18.77742197-AF54</f>
        <v>-18.427504539999997</v>
      </c>
      <c r="AG19" s="38">
        <f>+-15.50763813-AG54</f>
        <v>-14.207638129999999</v>
      </c>
      <c r="AH19" s="38">
        <f>+-7.04974417-AH54</f>
        <v>-6.5616336200000003</v>
      </c>
      <c r="AI19" s="38">
        <f>+-8.86610442-AI54</f>
        <v>-8.8063862099999994</v>
      </c>
      <c r="AJ19" s="38">
        <f>+-22.67480489-AJ54</f>
        <v>-22.67467628</v>
      </c>
      <c r="AK19" s="38">
        <f>+-15.90505726-AK54</f>
        <v>-15.520190899999999</v>
      </c>
      <c r="AL19" s="38">
        <v>-12.663205760000004</v>
      </c>
      <c r="AM19" s="38">
        <v>-18.399999999999999</v>
      </c>
      <c r="AN19" s="38">
        <v>-22.747301230000005</v>
      </c>
      <c r="AO19" s="38">
        <v>-28.384416129999998</v>
      </c>
      <c r="AP19" s="38">
        <v>-38.247207030000006</v>
      </c>
      <c r="AQ19" s="38">
        <v>-36.07</v>
      </c>
      <c r="AR19" s="38">
        <v>-23.949563029999979</v>
      </c>
      <c r="AS19" s="38">
        <v>-31.198525449999998</v>
      </c>
      <c r="AT19" s="38">
        <v>-35</v>
      </c>
      <c r="AU19" s="38">
        <v>-33.427848479999987</v>
      </c>
      <c r="AV19" s="38">
        <v>-46.032795730000011</v>
      </c>
      <c r="AW19" s="38">
        <v>-9.4458161899999986</v>
      </c>
      <c r="AX19" s="38">
        <v>-20.042395860000003</v>
      </c>
      <c r="AY19" s="38">
        <v>-21.458259230000007</v>
      </c>
      <c r="AZ19" s="38">
        <v>-44.759759929999987</v>
      </c>
      <c r="BA19" s="38">
        <v>-19.966245200000003</v>
      </c>
      <c r="BB19" s="38">
        <v>-27.175348599999992</v>
      </c>
      <c r="BC19" s="38">
        <v>-63.500290179999993</v>
      </c>
      <c r="BD19" s="38">
        <v>-34.215262860000024</v>
      </c>
    </row>
    <row r="20" spans="1:56">
      <c r="A20" s="51">
        <v>14</v>
      </c>
      <c r="B20" s="5" t="s">
        <v>168</v>
      </c>
      <c r="C20" s="57">
        <f t="shared" si="7"/>
        <v>-23.392242329999988</v>
      </c>
      <c r="D20" s="57">
        <f t="shared" si="8"/>
        <v>-39.905062480000026</v>
      </c>
      <c r="E20" s="30">
        <f t="shared" si="3"/>
        <v>0.7059101011801141</v>
      </c>
      <c r="G20" s="51">
        <f t="shared" si="0"/>
        <v>14</v>
      </c>
      <c r="H20" s="5" t="s">
        <v>168</v>
      </c>
      <c r="I20" s="38">
        <v>-143.05921096000003</v>
      </c>
      <c r="J20" s="38">
        <v>-115.28823815000001</v>
      </c>
      <c r="K20" s="38">
        <v>-64.623558400000007</v>
      </c>
      <c r="L20" s="38">
        <v>-18.6760698</v>
      </c>
      <c r="M20" s="38">
        <v>-95.077913459999991</v>
      </c>
      <c r="N20" s="38">
        <v>-96.246866560000015</v>
      </c>
      <c r="O20" s="38">
        <v>-48.765143299999998</v>
      </c>
      <c r="P20" s="38">
        <v>-11.3</v>
      </c>
      <c r="Q20" s="38">
        <v>-55.49246531</v>
      </c>
      <c r="R20" s="38">
        <v>-48.625604530000011</v>
      </c>
      <c r="S20" s="38">
        <v>-29.351692119999996</v>
      </c>
      <c r="T20" s="38">
        <v>-46.499171390000001</v>
      </c>
      <c r="U20" s="38">
        <v>-74.428830290000008</v>
      </c>
      <c r="V20" s="38">
        <v>-74.671550390000007</v>
      </c>
      <c r="W20" s="38">
        <v>-44.972191940000002</v>
      </c>
      <c r="X20" s="38">
        <v>-22.572275439999995</v>
      </c>
      <c r="Y20" s="38">
        <v>-81.834264469999994</v>
      </c>
      <c r="Z20" s="38">
        <v>-91.752166529999982</v>
      </c>
      <c r="AA20" s="38">
        <v>-63.272530880000005</v>
      </c>
      <c r="AB20" s="38">
        <f>+-51.49424782-AB55</f>
        <v>-26.208514819999998</v>
      </c>
      <c r="AC20" s="38">
        <f>+-103.54780074-AC55</f>
        <v>-83.935614360000002</v>
      </c>
      <c r="AD20" s="38">
        <f>+-95.37933399-AD55</f>
        <v>-79.202876680000003</v>
      </c>
      <c r="AE20" s="38">
        <v>-48.18053414000002</v>
      </c>
      <c r="AF20" s="38">
        <f>+-64.13887255-AF55</f>
        <v>-43.382659270000005</v>
      </c>
      <c r="AG20" s="38">
        <f>+-68.50728894-AG55</f>
        <v>-57.407288939999994</v>
      </c>
      <c r="AH20" s="38">
        <f>+-69.67391141-AH55</f>
        <v>-55.093791430000003</v>
      </c>
      <c r="AI20" s="38">
        <f>+-75.50659227-AI55</f>
        <v>-54.870246770000001</v>
      </c>
      <c r="AJ20" s="38">
        <f>+-31.72562505-AJ55</f>
        <v>-12.156151910000002</v>
      </c>
      <c r="AK20" s="38">
        <f>+-66.27092621-AK55</f>
        <v>-51.142680729999995</v>
      </c>
      <c r="AL20" s="38">
        <v>-76.862570170000012</v>
      </c>
      <c r="AM20" s="38">
        <v>-128.16187044</v>
      </c>
      <c r="AN20" s="38">
        <v>-64.591707400000018</v>
      </c>
      <c r="AO20" s="38">
        <v>-97.481601500000011</v>
      </c>
      <c r="AP20" s="38">
        <v>-128.01139555999998</v>
      </c>
      <c r="AQ20" s="38">
        <v>-89.83</v>
      </c>
      <c r="AR20" s="38">
        <v>-109.43343026999992</v>
      </c>
      <c r="AS20" s="38">
        <v>-154.33568976000001</v>
      </c>
      <c r="AT20" s="38">
        <v>-147.5</v>
      </c>
      <c r="AU20" s="38">
        <v>-50.611767769999972</v>
      </c>
      <c r="AV20" s="38">
        <v>-55.245906590000061</v>
      </c>
      <c r="AW20" s="38">
        <v>-71.003414499999991</v>
      </c>
      <c r="AX20" s="38">
        <v>-100.51503481</v>
      </c>
      <c r="AY20" s="38">
        <v>-31.841695430000016</v>
      </c>
      <c r="AZ20" s="38">
        <v>-23.392242329999988</v>
      </c>
      <c r="BA20" s="38">
        <v>-59.667367209999995</v>
      </c>
      <c r="BB20" s="38">
        <v>-75.801301519999996</v>
      </c>
      <c r="BC20" s="38">
        <v>-52.582721830000011</v>
      </c>
      <c r="BD20" s="38">
        <v>-39.905062480000026</v>
      </c>
    </row>
    <row r="21" spans="1:56">
      <c r="A21" s="51">
        <v>15</v>
      </c>
      <c r="B21" s="5" t="s">
        <v>169</v>
      </c>
      <c r="C21" s="57">
        <f t="shared" si="7"/>
        <v>-1.1793407099999991</v>
      </c>
      <c r="D21" s="57">
        <f t="shared" si="8"/>
        <v>-2.0070400900000003</v>
      </c>
      <c r="E21" s="30">
        <f t="shared" si="3"/>
        <v>0.70183228051205138</v>
      </c>
      <c r="G21" s="51">
        <f t="shared" si="0"/>
        <v>15</v>
      </c>
      <c r="H21" s="5" t="s">
        <v>169</v>
      </c>
      <c r="I21" s="38">
        <v>-22.91047446</v>
      </c>
      <c r="J21" s="38">
        <v>-43.010705830000006</v>
      </c>
      <c r="K21" s="38">
        <v>-40.598616540000009</v>
      </c>
      <c r="L21" s="38">
        <v>-3.2749097999999996</v>
      </c>
      <c r="M21" s="38">
        <v>-22.496929869999999</v>
      </c>
      <c r="N21" s="38">
        <v>-18.099470910000001</v>
      </c>
      <c r="O21" s="38">
        <v>-1.5190404399999999</v>
      </c>
      <c r="P21" s="38">
        <v>-2</v>
      </c>
      <c r="Q21" s="38">
        <v>-2.0902260800000003</v>
      </c>
      <c r="R21" s="38">
        <v>-23.231005809999996</v>
      </c>
      <c r="S21" s="38">
        <v>-13.097372880000002</v>
      </c>
      <c r="T21" s="38">
        <v>-2.91121008</v>
      </c>
      <c r="U21" s="38">
        <v>-6.969882909999999</v>
      </c>
      <c r="V21" s="38">
        <v>-16.593912970000002</v>
      </c>
      <c r="W21" s="38">
        <v>-4.990396689999999</v>
      </c>
      <c r="X21" s="38">
        <v>-2.59113864</v>
      </c>
      <c r="Y21" s="38">
        <v>-3.0085850299999999</v>
      </c>
      <c r="Z21" s="38">
        <v>-4.8410693299999998</v>
      </c>
      <c r="AA21" s="38">
        <v>-3.6377084799999992</v>
      </c>
      <c r="AB21" s="38">
        <f>+-3.58230685-AB56</f>
        <v>-3.5823068500000002</v>
      </c>
      <c r="AC21" s="38">
        <f>+-9.14473538-AC56</f>
        <v>-9.1447353800000002</v>
      </c>
      <c r="AD21" s="38">
        <v>-2.1464366200000002</v>
      </c>
      <c r="AE21" s="38">
        <v>-0.41594635999999952</v>
      </c>
      <c r="AF21" s="38">
        <f>+-0.974576780847656-AF56</f>
        <v>-0.97457678084765598</v>
      </c>
      <c r="AG21" s="38">
        <v>-4.2986809299999997</v>
      </c>
      <c r="AH21" s="38">
        <f>+-2.94319108-AH56</f>
        <v>-2.9431910800000001</v>
      </c>
      <c r="AI21" s="38">
        <v>-0.41815340000000006</v>
      </c>
      <c r="AJ21" s="38">
        <v>-1.86275127</v>
      </c>
      <c r="AK21" s="38">
        <f>+-16.70689078-AK56</f>
        <v>-16.706890779999998</v>
      </c>
      <c r="AL21" s="38">
        <v>-7.3473143399999978</v>
      </c>
      <c r="AM21" s="38">
        <v>-18.83520717</v>
      </c>
      <c r="AN21" s="38">
        <v>-6.1802511399999993</v>
      </c>
      <c r="AO21" s="38">
        <v>-7.0593287499999997</v>
      </c>
      <c r="AP21" s="38">
        <v>-50.758022610000005</v>
      </c>
      <c r="AQ21" s="38">
        <v>-7.21</v>
      </c>
      <c r="AR21" s="38">
        <v>-5.3518450999999914</v>
      </c>
      <c r="AS21" s="38">
        <v>-7.3668896100000003</v>
      </c>
      <c r="AT21" s="38">
        <v>-8.6999999999999993</v>
      </c>
      <c r="AU21" s="38">
        <v>-0.90205733000000166</v>
      </c>
      <c r="AV21" s="38">
        <v>-1.1735378799999978</v>
      </c>
      <c r="AW21" s="38">
        <v>-0.94630468999999995</v>
      </c>
      <c r="AX21" s="38">
        <v>-2.7735916800000004</v>
      </c>
      <c r="AY21" s="38">
        <v>-1.1605387700000001</v>
      </c>
      <c r="AZ21" s="38">
        <v>-1.1793407099999991</v>
      </c>
      <c r="BA21" s="38">
        <v>-1.8139338399999998</v>
      </c>
      <c r="BB21" s="38">
        <v>-9.0322064500000003</v>
      </c>
      <c r="BC21" s="38">
        <v>-1.6337859100000003</v>
      </c>
      <c r="BD21" s="38">
        <v>-2.0070400900000003</v>
      </c>
    </row>
    <row r="22" spans="1:56">
      <c r="A22" s="51">
        <v>16</v>
      </c>
      <c r="B22" s="5" t="s">
        <v>170</v>
      </c>
      <c r="C22" s="57">
        <f t="shared" si="7"/>
        <v>-4.0719472400000143</v>
      </c>
      <c r="D22" s="57">
        <f t="shared" si="8"/>
        <v>-4.626606139999998</v>
      </c>
      <c r="E22" s="30">
        <f t="shared" si="3"/>
        <v>0.13621465783038533</v>
      </c>
      <c r="G22" s="51">
        <f t="shared" si="0"/>
        <v>16</v>
      </c>
      <c r="H22" s="5" t="s">
        <v>170</v>
      </c>
      <c r="I22" s="38">
        <v>-23.41590613</v>
      </c>
      <c r="J22" s="38">
        <v>-25.471509249999997</v>
      </c>
      <c r="K22" s="38">
        <v>-24.229548649999998</v>
      </c>
      <c r="L22" s="38">
        <v>-19.288644770000001</v>
      </c>
      <c r="M22" s="38">
        <v>-26.610703540000006</v>
      </c>
      <c r="N22" s="38">
        <v>-22.176684440000002</v>
      </c>
      <c r="O22" s="38">
        <v>-20.448241290000002</v>
      </c>
      <c r="P22" s="38">
        <v>-8.4</v>
      </c>
      <c r="Q22" s="38">
        <v>-18.665973629999996</v>
      </c>
      <c r="R22" s="38">
        <v>-16.86084202</v>
      </c>
      <c r="S22" s="38">
        <v>-18.844166730000001</v>
      </c>
      <c r="T22" s="38">
        <v>-9.0097784399999981</v>
      </c>
      <c r="U22" s="38">
        <v>-18.267814120000004</v>
      </c>
      <c r="V22" s="38">
        <v>-19.587985530000005</v>
      </c>
      <c r="W22" s="38">
        <v>-21.775002570000002</v>
      </c>
      <c r="X22" s="38">
        <v>-14.182322660000001</v>
      </c>
      <c r="Y22" s="38">
        <v>-22.118387720000001</v>
      </c>
      <c r="Z22" s="38">
        <v>-22.376940360000003</v>
      </c>
      <c r="AA22" s="38">
        <v>-23.068639080000001</v>
      </c>
      <c r="AB22" s="38">
        <v>-19.234630080000002</v>
      </c>
      <c r="AC22" s="38">
        <v>-25.951997500000001</v>
      </c>
      <c r="AD22" s="38">
        <v>-25.329593030000002</v>
      </c>
      <c r="AE22" s="38">
        <v>-7.9583244999999962</v>
      </c>
      <c r="AF22" s="38">
        <v>-14.40621734</v>
      </c>
      <c r="AG22" s="38">
        <v>-20.795866490000002</v>
      </c>
      <c r="AH22" s="38">
        <v>-21.183902500000002</v>
      </c>
      <c r="AI22" s="38">
        <v>-17.545652830000002</v>
      </c>
      <c r="AJ22" s="38">
        <f>+-10.82531167-AJ56</f>
        <v>-9.905931429999999</v>
      </c>
      <c r="AK22" s="38">
        <v>-21.106550949999999</v>
      </c>
      <c r="AL22" s="38">
        <v>-25.186136600000005</v>
      </c>
      <c r="AM22" s="38">
        <v>-26.626581519999998</v>
      </c>
      <c r="AN22" s="38">
        <v>-16.740971340000002</v>
      </c>
      <c r="AO22" s="38">
        <v>-31.017013939999998</v>
      </c>
      <c r="AP22" s="38">
        <v>-31.993431799999996</v>
      </c>
      <c r="AQ22" s="38">
        <v>-41.57</v>
      </c>
      <c r="AR22" s="38">
        <v>-21.827071390000015</v>
      </c>
      <c r="AS22" s="38">
        <v>-45.669600989999999</v>
      </c>
      <c r="AT22" s="38">
        <v>-55.7</v>
      </c>
      <c r="AU22" s="38">
        <v>-22.305689220000012</v>
      </c>
      <c r="AV22" s="38">
        <v>-19.688287360000004</v>
      </c>
      <c r="AW22" s="38">
        <v>-33.493438950000005</v>
      </c>
      <c r="AX22" s="38">
        <v>-27.649152689999994</v>
      </c>
      <c r="AY22" s="38">
        <v>-18.556322349999995</v>
      </c>
      <c r="AZ22" s="38">
        <v>-4.0719472400000143</v>
      </c>
      <c r="BA22" s="38">
        <v>-11.190888200000002</v>
      </c>
      <c r="BB22" s="38">
        <v>-0.49072630999999767</v>
      </c>
      <c r="BC22" s="38">
        <v>-1.2726798000000006</v>
      </c>
      <c r="BD22" s="38">
        <v>-4.626606139999998</v>
      </c>
    </row>
    <row r="23" spans="1:56">
      <c r="A23" s="51">
        <v>17</v>
      </c>
      <c r="B23" s="5" t="s">
        <v>197</v>
      </c>
      <c r="C23" s="57">
        <f t="shared" si="7"/>
        <v>-28.265522682819999</v>
      </c>
      <c r="D23" s="57">
        <f t="shared" si="8"/>
        <v>-24.918116260000041</v>
      </c>
      <c r="E23" s="30">
        <f t="shared" si="3"/>
        <v>-0.11842718991552692</v>
      </c>
      <c r="G23" s="51">
        <f t="shared" si="0"/>
        <v>17</v>
      </c>
      <c r="H23" s="5" t="s">
        <v>197</v>
      </c>
      <c r="I23" s="38">
        <v>-19.06721697</v>
      </c>
      <c r="J23" s="38">
        <v>-21.910840070000003</v>
      </c>
      <c r="K23" s="38">
        <v>-27.707132019999996</v>
      </c>
      <c r="L23" s="38">
        <v>-38.350595890000008</v>
      </c>
      <c r="M23" s="38">
        <v>-17.36380879</v>
      </c>
      <c r="N23" s="38">
        <v>-20.837634659999999</v>
      </c>
      <c r="O23" s="38">
        <v>-20.404946679999998</v>
      </c>
      <c r="P23" s="38">
        <v>-27.2</v>
      </c>
      <c r="Q23" s="38">
        <v>-16.163761940000001</v>
      </c>
      <c r="R23" s="38">
        <v>-18.221297059999998</v>
      </c>
      <c r="S23" s="38">
        <v>-18.850021900000002</v>
      </c>
      <c r="T23" s="38">
        <v>-14.534520140000001</v>
      </c>
      <c r="U23" s="38">
        <v>-19.276534640000001</v>
      </c>
      <c r="V23" s="38">
        <v>-20.162304949999999</v>
      </c>
      <c r="W23" s="38">
        <v>-24.425988220000001</v>
      </c>
      <c r="X23" s="38">
        <v>-28.84557053</v>
      </c>
      <c r="Y23" s="38">
        <v>-20.02226443</v>
      </c>
      <c r="Z23" s="38">
        <v>-22.141978789999996</v>
      </c>
      <c r="AA23" s="38">
        <v>-16.946930869999999</v>
      </c>
      <c r="AB23" s="38">
        <f>+-28.76885844-AB57</f>
        <v>-25.276053900000001</v>
      </c>
      <c r="AC23" s="38">
        <f>+-19.58196495-AC57</f>
        <v>-16.469341709999998</v>
      </c>
      <c r="AD23" s="38">
        <f>+-21.03649055-AD57</f>
        <v>-17.734178549999999</v>
      </c>
      <c r="AE23" s="38">
        <v>-16.571456010000002</v>
      </c>
      <c r="AF23" s="38">
        <f>+-23.46560624-AF57</f>
        <v>-20.113695880000002</v>
      </c>
      <c r="AG23" s="38">
        <f>+-13.36357333-AG57</f>
        <v>-11.41508732</v>
      </c>
      <c r="AH23" s="38">
        <f>+-17.51902408-AH57</f>
        <v>-14.984349530000001</v>
      </c>
      <c r="AI23" s="38">
        <f>+-12.96304668-AI57</f>
        <v>-10.719039779999999</v>
      </c>
      <c r="AJ23" s="38">
        <f>+-24.00240708-AJ57</f>
        <v>-20.103875870000003</v>
      </c>
      <c r="AK23" s="38">
        <f>+-12.00200043-AK57</f>
        <v>-10.502000430000001</v>
      </c>
      <c r="AL23" s="38">
        <v>-15.997802031244371</v>
      </c>
      <c r="AM23" s="38">
        <v>-12.1</v>
      </c>
      <c r="AN23" s="38">
        <v>-13.80962212000005</v>
      </c>
      <c r="AO23" s="38">
        <v>-13.021428770000005</v>
      </c>
      <c r="AP23" s="38">
        <v>-14.375464381631071</v>
      </c>
      <c r="AQ23" s="38">
        <v>-13.09</v>
      </c>
      <c r="AR23" s="38">
        <v>-16.66</v>
      </c>
      <c r="AS23" s="38">
        <v>-17.664421062103383</v>
      </c>
      <c r="AT23" s="38">
        <v>-22.7</v>
      </c>
      <c r="AU23" s="38">
        <v>-19.581539097677908</v>
      </c>
      <c r="AV23" s="38">
        <v>-24.150256703251269</v>
      </c>
      <c r="AW23" s="38">
        <v>-20.171174767547036</v>
      </c>
      <c r="AX23" s="38">
        <v>-19.961319563488289</v>
      </c>
      <c r="AY23" s="38">
        <v>-20.440605673633648</v>
      </c>
      <c r="AZ23" s="38">
        <v>-28.265522682819999</v>
      </c>
      <c r="BA23" s="38">
        <v>-21.83129213158491</v>
      </c>
      <c r="BB23" s="38">
        <v>-23.487402659737072</v>
      </c>
      <c r="BC23" s="38">
        <v>-26.274971765675026</v>
      </c>
      <c r="BD23" s="38">
        <v>-24.918116260000041</v>
      </c>
    </row>
    <row r="24" spans="1:56">
      <c r="A24" s="51">
        <v>18</v>
      </c>
      <c r="C24" s="80"/>
      <c r="D24" s="80"/>
      <c r="E24" s="34"/>
      <c r="G24" s="51">
        <f t="shared" si="0"/>
        <v>18</v>
      </c>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row>
    <row r="25" spans="1:56">
      <c r="A25" s="51">
        <v>19</v>
      </c>
      <c r="B25" s="85" t="s">
        <v>198</v>
      </c>
      <c r="C25" s="88">
        <f>HLOOKUP($C$7,$H$7:$BD$33,$G25,FALSE)</f>
        <v>186.36436440425257</v>
      </c>
      <c r="D25" s="88">
        <f>HLOOKUP($D$7,$H$7:$BD$33,$G25,FALSE)</f>
        <v>184.65846726999996</v>
      </c>
      <c r="E25" s="87">
        <f t="shared" si="3"/>
        <v>-9.153558619995894E-3</v>
      </c>
      <c r="F25" s="47"/>
      <c r="G25" s="51">
        <f t="shared" si="0"/>
        <v>19</v>
      </c>
      <c r="H25" s="85" t="s">
        <v>198</v>
      </c>
      <c r="I25" s="86">
        <f t="shared" ref="I25:AE25" si="12">I17+I10</f>
        <v>137.89374637000003</v>
      </c>
      <c r="J25" s="86">
        <f t="shared" si="12"/>
        <v>162.44525369000002</v>
      </c>
      <c r="K25" s="86">
        <f t="shared" si="12"/>
        <v>137.48338611999998</v>
      </c>
      <c r="L25" s="86">
        <f t="shared" si="12"/>
        <v>181.04590640999999</v>
      </c>
      <c r="M25" s="86">
        <f t="shared" si="12"/>
        <v>111.84702719000003</v>
      </c>
      <c r="N25" s="86">
        <f t="shared" si="12"/>
        <v>157.19356322000004</v>
      </c>
      <c r="O25" s="86">
        <f t="shared" si="12"/>
        <v>200.96953452999998</v>
      </c>
      <c r="P25" s="86">
        <f t="shared" si="12"/>
        <v>196.5</v>
      </c>
      <c r="Q25" s="86">
        <f t="shared" si="12"/>
        <v>174.20261859999999</v>
      </c>
      <c r="R25" s="86">
        <f t="shared" si="12"/>
        <v>165.02881524999998</v>
      </c>
      <c r="S25" s="86">
        <f t="shared" si="12"/>
        <v>130.51520865999996</v>
      </c>
      <c r="T25" s="86">
        <f t="shared" si="12"/>
        <v>169.52104676999997</v>
      </c>
      <c r="U25" s="86">
        <f t="shared" si="12"/>
        <v>167.14281708999997</v>
      </c>
      <c r="V25" s="86">
        <f t="shared" si="12"/>
        <v>170.80365676000002</v>
      </c>
      <c r="W25" s="86">
        <f t="shared" si="12"/>
        <v>185.34389436999996</v>
      </c>
      <c r="X25" s="86">
        <f t="shared" si="12"/>
        <v>217.99880021000004</v>
      </c>
      <c r="Y25" s="86">
        <f t="shared" si="12"/>
        <v>180.10621122000003</v>
      </c>
      <c r="Z25" s="86">
        <f t="shared" si="12"/>
        <v>167.37775774000008</v>
      </c>
      <c r="AA25" s="86">
        <f t="shared" si="12"/>
        <v>173.78870720000003</v>
      </c>
      <c r="AB25" s="86">
        <f t="shared" si="12"/>
        <v>230.59628267000002</v>
      </c>
      <c r="AC25" s="86">
        <f t="shared" si="12"/>
        <v>170.62513011000001</v>
      </c>
      <c r="AD25" s="86">
        <f t="shared" si="12"/>
        <v>178.36596232000002</v>
      </c>
      <c r="AE25" s="86">
        <f t="shared" si="12"/>
        <v>183.58786783000005</v>
      </c>
      <c r="AF25" s="86">
        <f t="shared" ref="AF25:AJ25" si="13">AF17+AF10</f>
        <v>187.48957726131368</v>
      </c>
      <c r="AG25" s="86">
        <f t="shared" si="13"/>
        <v>175.95360103000004</v>
      </c>
      <c r="AH25" s="86">
        <f t="shared" si="13"/>
        <v>166.56677347999999</v>
      </c>
      <c r="AI25" s="86">
        <f t="shared" si="13"/>
        <v>183.49524977999997</v>
      </c>
      <c r="AJ25" s="86">
        <f t="shared" si="13"/>
        <v>188.01667729907101</v>
      </c>
      <c r="AK25" s="86">
        <f>AK17+AK10</f>
        <v>151.8117141594561</v>
      </c>
      <c r="AL25" s="86">
        <f>AL17+AL10</f>
        <v>147.6328105792995</v>
      </c>
      <c r="AM25" s="86">
        <f>AM17+AM10</f>
        <v>60.766985820000031</v>
      </c>
      <c r="AN25" s="86">
        <v>177.22567208228426</v>
      </c>
      <c r="AO25" s="86">
        <v>149.74889408738284</v>
      </c>
      <c r="AP25" s="86">
        <v>162.21798289443126</v>
      </c>
      <c r="AQ25" s="86">
        <v>210.94</v>
      </c>
      <c r="AR25" s="86">
        <v>259.19456512764049</v>
      </c>
      <c r="AS25" s="86">
        <f>AS17+AS10</f>
        <v>201.37976835056162</v>
      </c>
      <c r="AT25" s="86">
        <f t="shared" ref="AT25:BB25" si="14">AT10+AT17</f>
        <v>171.63148441124292</v>
      </c>
      <c r="AU25" s="86">
        <f t="shared" si="14"/>
        <v>211.40222353701657</v>
      </c>
      <c r="AV25" s="86">
        <f t="shared" si="14"/>
        <v>172.15459329915188</v>
      </c>
      <c r="AW25" s="86">
        <f t="shared" si="14"/>
        <v>163.24544448846092</v>
      </c>
      <c r="AX25" s="86">
        <f t="shared" si="14"/>
        <v>167.17626169582684</v>
      </c>
      <c r="AY25" s="86">
        <f t="shared" si="14"/>
        <v>183.61999754568336</v>
      </c>
      <c r="AZ25" s="86">
        <f t="shared" si="14"/>
        <v>186.36436440425257</v>
      </c>
      <c r="BA25" s="86">
        <f t="shared" si="14"/>
        <v>194.16903403282981</v>
      </c>
      <c r="BB25" s="86">
        <f t="shared" si="14"/>
        <v>161.91167629865708</v>
      </c>
      <c r="BC25" s="86">
        <f>BC10+BC17</f>
        <v>139.91637229629265</v>
      </c>
      <c r="BD25" s="86">
        <f>BD10+BD17</f>
        <v>184.65846726999996</v>
      </c>
    </row>
    <row r="26" spans="1:56">
      <c r="A26" s="51">
        <v>20</v>
      </c>
      <c r="C26" s="80"/>
      <c r="D26" s="80"/>
      <c r="E26" s="34"/>
      <c r="G26" s="51">
        <f t="shared" si="0"/>
        <v>20</v>
      </c>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row>
    <row r="27" spans="1:56">
      <c r="A27" s="51">
        <v>21</v>
      </c>
      <c r="B27" s="5" t="s">
        <v>173</v>
      </c>
      <c r="C27" s="57">
        <f>HLOOKUP($C$7,$H$7:$BD$33,$G27,FALSE)</f>
        <v>-21.613447239110638</v>
      </c>
      <c r="D27" s="57">
        <f>HLOOKUP($D$7,$H$7:$BD$33,$G27,FALSE)</f>
        <v>-22.629247319999969</v>
      </c>
      <c r="E27" s="30">
        <f t="shared" si="3"/>
        <v>4.6998522246427532E-2</v>
      </c>
      <c r="F27" s="46"/>
      <c r="G27" s="51">
        <f t="shared" si="0"/>
        <v>21</v>
      </c>
      <c r="H27" s="5" t="s">
        <v>173</v>
      </c>
      <c r="I27" s="38">
        <v>-13.511288560000001</v>
      </c>
      <c r="J27" s="38">
        <v>-15.730694790000001</v>
      </c>
      <c r="K27" s="38">
        <v>-14.94375202</v>
      </c>
      <c r="L27" s="38">
        <v>-15.521342820000001</v>
      </c>
      <c r="M27" s="38">
        <v>-13.954037509999999</v>
      </c>
      <c r="N27" s="38">
        <v>-14.80528035</v>
      </c>
      <c r="O27" s="38">
        <v>-13.73918705</v>
      </c>
      <c r="P27" s="38">
        <v>-13.4</v>
      </c>
      <c r="Q27" s="38">
        <v>-14.19469086</v>
      </c>
      <c r="R27" s="38">
        <v>-15.02867498</v>
      </c>
      <c r="S27" s="38">
        <v>-16.110477190000001</v>
      </c>
      <c r="T27" s="38">
        <v>-16.584576090000002</v>
      </c>
      <c r="U27" s="38">
        <v>-15.693575970000001</v>
      </c>
      <c r="V27" s="38">
        <v>-16.256828450000004</v>
      </c>
      <c r="W27" s="38">
        <v>-17.746854899999999</v>
      </c>
      <c r="X27" s="38">
        <v>-21.240113520000001</v>
      </c>
      <c r="Y27" s="38">
        <v>-19.39190297</v>
      </c>
      <c r="Z27" s="38">
        <v>-18.475289360000001</v>
      </c>
      <c r="AA27" s="38">
        <v>-17.7550566</v>
      </c>
      <c r="AB27" s="38">
        <f>+-19.52008206-AB61</f>
        <v>-18.015688310000002</v>
      </c>
      <c r="AC27" s="38">
        <f>+-18.14563445-AC61</f>
        <v>-16.681628180000001</v>
      </c>
      <c r="AD27" s="38">
        <v>-17.086857370000001</v>
      </c>
      <c r="AE27" s="38">
        <v>-16.935537579999995</v>
      </c>
      <c r="AF27" s="38">
        <v>-17.459000799999998</v>
      </c>
      <c r="AG27" s="38">
        <f>+-15.10311077-AG61</f>
        <v>-13.503110770000001</v>
      </c>
      <c r="AH27" s="38">
        <f>+-15.96317607-AH61</f>
        <v>-14.437053499999999</v>
      </c>
      <c r="AI27" s="38">
        <f>+-16.54621755-AI61</f>
        <v>-15.012555730000001</v>
      </c>
      <c r="AJ27" s="38">
        <f>+-17.7444132051426-AJ61</f>
        <v>-16.2179583251426</v>
      </c>
      <c r="AK27" s="38">
        <f>+-21.2684943257862-AK61</f>
        <v>-19.428022205786199</v>
      </c>
      <c r="AL27" s="38">
        <f>+-21.5443199442137-AL61</f>
        <v>-20.045353354213699</v>
      </c>
      <c r="AM27" s="38">
        <f>+-19.2992554288968-AM61</f>
        <v>-17.735888498896799</v>
      </c>
      <c r="AN27" s="38">
        <v>-16.079637595259822</v>
      </c>
      <c r="AO27" s="38">
        <v>-17.634083860105498</v>
      </c>
      <c r="AP27" s="38">
        <v>-19.528978769894493</v>
      </c>
      <c r="AQ27" s="38">
        <v>-18.940000000000001</v>
      </c>
      <c r="AR27" s="38">
        <v>-19.090453094425904</v>
      </c>
      <c r="AS27" s="38">
        <v>-19.6959955363691</v>
      </c>
      <c r="AT27" s="38">
        <v>-21.1</v>
      </c>
      <c r="AU27" s="38">
        <v>-21.092168078135348</v>
      </c>
      <c r="AV27" s="38">
        <v>-20.021616717902926</v>
      </c>
      <c r="AW27" s="38">
        <v>-18.808456503994844</v>
      </c>
      <c r="AX27" s="38">
        <v>-20.906354536885924</v>
      </c>
      <c r="AY27" s="38">
        <v>-20.935780231010899</v>
      </c>
      <c r="AZ27" s="38">
        <v>-21.613447239110638</v>
      </c>
      <c r="BA27" s="38">
        <v>-22.213365790000005</v>
      </c>
      <c r="BB27" s="38">
        <v>-24.444234879999989</v>
      </c>
      <c r="BC27" s="38">
        <v>-22.551652340000018</v>
      </c>
      <c r="BD27" s="38">
        <v>-22.629247319999969</v>
      </c>
    </row>
    <row r="28" spans="1:56">
      <c r="A28" s="51">
        <v>22</v>
      </c>
      <c r="B28" s="5" t="s">
        <v>199</v>
      </c>
      <c r="C28" s="57">
        <f>HLOOKUP($C$7,$H$7:$BD$33,$G28,FALSE)</f>
        <v>-15.355077077452265</v>
      </c>
      <c r="D28" s="57">
        <f>HLOOKUP($D$7,$H$7:$BD$33,$G28,FALSE)</f>
        <v>-18.914189899999943</v>
      </c>
      <c r="E28" s="30">
        <f t="shared" si="3"/>
        <v>0.2317873628764755</v>
      </c>
      <c r="G28" s="51">
        <f t="shared" si="0"/>
        <v>22</v>
      </c>
      <c r="H28" s="5" t="s">
        <v>199</v>
      </c>
      <c r="I28" s="38">
        <v>-4.6297593400000006</v>
      </c>
      <c r="J28" s="38">
        <v>-5.884523660000001</v>
      </c>
      <c r="K28" s="38">
        <v>-5.5682920600000001</v>
      </c>
      <c r="L28" s="38">
        <v>-6.5220293500000004</v>
      </c>
      <c r="M28" s="38">
        <v>-5.1150877699999997</v>
      </c>
      <c r="N28" s="38">
        <v>-6.0219605700000001</v>
      </c>
      <c r="O28" s="38">
        <v>-6.3402090600000003</v>
      </c>
      <c r="P28" s="38">
        <v>-11</v>
      </c>
      <c r="Q28" s="38">
        <v>-6.5020823799999965</v>
      </c>
      <c r="R28" s="38">
        <v>-8.009772479999997</v>
      </c>
      <c r="S28" s="38">
        <v>-7.9525749999999995</v>
      </c>
      <c r="T28" s="38">
        <v>-9.1727891499999981</v>
      </c>
      <c r="U28" s="38">
        <v>-8.0615386299999994</v>
      </c>
      <c r="V28" s="38">
        <v>-6.9816923099999997</v>
      </c>
      <c r="W28" s="38">
        <v>-7.0422980900000001</v>
      </c>
      <c r="X28" s="38">
        <v>-9.7220474300000017</v>
      </c>
      <c r="Y28" s="38">
        <v>-7.0583630999999993</v>
      </c>
      <c r="Z28" s="38">
        <v>-7.2230401099999986</v>
      </c>
      <c r="AA28" s="38">
        <v>-7.0517470699999993</v>
      </c>
      <c r="AB28" s="38">
        <f>+-10.4942574-AB62</f>
        <v>-9.1196006500000006</v>
      </c>
      <c r="AC28" s="38">
        <f>+-5.57047109-AC62</f>
        <v>-5.0442705099999996</v>
      </c>
      <c r="AD28" s="38">
        <v>-5.9828553699999993</v>
      </c>
      <c r="AE28" s="38">
        <v>-3.9182373899999976</v>
      </c>
      <c r="AF28" s="38">
        <v>-6.08522447</v>
      </c>
      <c r="AG28" s="38">
        <f>+-11.13666763-AG62</f>
        <v>-9.6851536399999993</v>
      </c>
      <c r="AH28" s="38">
        <f>+-10.3069637-AH62</f>
        <v>-10.39199872</v>
      </c>
      <c r="AI28" s="38">
        <f>+-10.66756838-AI62</f>
        <v>-9.15303383</v>
      </c>
      <c r="AJ28" s="38">
        <f>+-8.86662309606035-AJ62</f>
        <v>-8.1298155560603504</v>
      </c>
      <c r="AK28" s="38">
        <f>+-13.7149330412444-AK62</f>
        <v>-11.9634325012444</v>
      </c>
      <c r="AL28" s="38">
        <f>+-14.3817598902411-AL62</f>
        <v>-12.549477400241095</v>
      </c>
      <c r="AM28" s="38">
        <v>-10.8</v>
      </c>
      <c r="AN28" s="38">
        <v>-15.05374818999994</v>
      </c>
      <c r="AO28" s="38">
        <v>-11.531036829999994</v>
      </c>
      <c r="AP28" s="38">
        <v>-11.597439940000083</v>
      </c>
      <c r="AQ28" s="38">
        <v>-11.63</v>
      </c>
      <c r="AR28" s="38">
        <v>-14.44</v>
      </c>
      <c r="AS28" s="38">
        <v>-14.62311044999999</v>
      </c>
      <c r="AT28" s="38">
        <v>-16</v>
      </c>
      <c r="AU28" s="38">
        <v>-13.118692019145115</v>
      </c>
      <c r="AV28" s="38">
        <v>-15.499407698992222</v>
      </c>
      <c r="AW28" s="38">
        <v>-14.787580705413902</v>
      </c>
      <c r="AX28" s="38">
        <v>-14.614826267918822</v>
      </c>
      <c r="AY28" s="38">
        <v>-15.736744769072907</v>
      </c>
      <c r="AZ28" s="38">
        <v>-15.355077077452265</v>
      </c>
      <c r="BA28" s="38">
        <v>-15.56849087994156</v>
      </c>
      <c r="BB28" s="38">
        <v>-17.377548350058436</v>
      </c>
      <c r="BC28" s="38">
        <v>-14.818146190000018</v>
      </c>
      <c r="BD28" s="38">
        <v>-18.914189899999943</v>
      </c>
    </row>
    <row r="29" spans="1:56">
      <c r="A29" s="51">
        <v>23</v>
      </c>
      <c r="B29" s="5" t="s">
        <v>175</v>
      </c>
      <c r="C29" s="57">
        <f>HLOOKUP($C$7,$H$7:$BD$33,$G29,FALSE)</f>
        <v>-49.588685739842603</v>
      </c>
      <c r="D29" s="57">
        <f>HLOOKUP($D$7,$H$7:$BD$33,$G29,FALSE)</f>
        <v>-61.452916609999988</v>
      </c>
      <c r="E29" s="30">
        <f t="shared" si="3"/>
        <v>0.2392527789988379</v>
      </c>
      <c r="G29" s="51">
        <f t="shared" si="0"/>
        <v>23</v>
      </c>
      <c r="H29" s="5" t="s">
        <v>175</v>
      </c>
      <c r="I29" s="38">
        <v>-41.951805570000005</v>
      </c>
      <c r="J29" s="38">
        <v>-46.185509760000002</v>
      </c>
      <c r="K29" s="38">
        <v>-46.341475529999997</v>
      </c>
      <c r="L29" s="38">
        <v>-47.895657579999998</v>
      </c>
      <c r="M29" s="38">
        <v>-47.45246057</v>
      </c>
      <c r="N29" s="38">
        <v>-48.384940369999995</v>
      </c>
      <c r="O29" s="38">
        <v>-48.861872340000005</v>
      </c>
      <c r="P29" s="38">
        <v>-49</v>
      </c>
      <c r="Q29" s="38">
        <v>-47.859028649999999</v>
      </c>
      <c r="R29" s="38">
        <v>-47.103709719999998</v>
      </c>
      <c r="S29" s="38">
        <v>-49.023684110000005</v>
      </c>
      <c r="T29" s="38">
        <v>-52.043309690000001</v>
      </c>
      <c r="U29" s="38">
        <v>-51.537491310000007</v>
      </c>
      <c r="V29" s="38">
        <v>-52.338320930000002</v>
      </c>
      <c r="W29" s="38">
        <v>-51.70911498000001</v>
      </c>
      <c r="X29" s="38">
        <v>-35.670721700000001</v>
      </c>
      <c r="Y29" s="38">
        <v>-50.468340229999995</v>
      </c>
      <c r="Z29" s="38">
        <v>-50.577710360000012</v>
      </c>
      <c r="AA29" s="38">
        <v>-51.21465688</v>
      </c>
      <c r="AB29" s="38">
        <f>+-60.0190398-AB63</f>
        <v>-51.431602030000001</v>
      </c>
      <c r="AC29" s="38">
        <f>+-62.31854023-AC63</f>
        <v>-51.456948539999999</v>
      </c>
      <c r="AD29" s="38">
        <v>-52.281024099999996</v>
      </c>
      <c r="AE29" s="38">
        <v>-52.09153554000001</v>
      </c>
      <c r="AF29" s="38">
        <v>-48.783084410000029</v>
      </c>
      <c r="AG29" s="38">
        <f>+-60.57309273-AG63</f>
        <v>-49.373092729999996</v>
      </c>
      <c r="AH29" s="38">
        <f>+-60.98348462-AH63</f>
        <v>-49.504984109999995</v>
      </c>
      <c r="AI29" s="38">
        <f>+-62.10269554-AI63</f>
        <v>-49.919730049999998</v>
      </c>
      <c r="AJ29" s="38">
        <f>+-62.95540184-AJ63</f>
        <v>-51.263780879999999</v>
      </c>
      <c r="AK29" s="38">
        <f>+-55.4260933129534-AK63</f>
        <v>-46.478154362953397</v>
      </c>
      <c r="AL29" s="38">
        <f>+-52.1342169370466-AL63</f>
        <v>-43.349546447046599</v>
      </c>
      <c r="AM29" s="38">
        <v>-44.2</v>
      </c>
      <c r="AN29" s="38">
        <v>-43.716920891246126</v>
      </c>
      <c r="AO29" s="38">
        <v>-43.999264936535113</v>
      </c>
      <c r="AP29" s="38">
        <v>-46.399168885673078</v>
      </c>
      <c r="AQ29" s="38">
        <v>-45.14</v>
      </c>
      <c r="AR29" s="38">
        <v>-48.246406215271165</v>
      </c>
      <c r="AS29" s="38">
        <v>-41.61037170423436</v>
      </c>
      <c r="AT29" s="38">
        <v>-41.8</v>
      </c>
      <c r="AU29" s="38">
        <v>-41.64694816039836</v>
      </c>
      <c r="AV29" s="38">
        <v>-45.163429373454527</v>
      </c>
      <c r="AW29" s="38">
        <v>-42.106801747200095</v>
      </c>
      <c r="AX29" s="38">
        <v>-42.599529601265687</v>
      </c>
      <c r="AY29" s="38">
        <v>-45.183394619490841</v>
      </c>
      <c r="AZ29" s="38">
        <v>-49.588685739842603</v>
      </c>
      <c r="BA29" s="38">
        <v>-47.80309102999999</v>
      </c>
      <c r="BB29" s="38">
        <v>-49.022504850000004</v>
      </c>
      <c r="BC29" s="38">
        <v>-56.505061990000044</v>
      </c>
      <c r="BD29" s="38">
        <v>-61.452916609999988</v>
      </c>
    </row>
    <row r="30" spans="1:56">
      <c r="A30" s="51">
        <v>24</v>
      </c>
      <c r="C30" s="80"/>
      <c r="D30" s="80"/>
      <c r="E30" s="34"/>
      <c r="G30" s="51">
        <f t="shared" si="0"/>
        <v>24</v>
      </c>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row>
    <row r="31" spans="1:56">
      <c r="A31" s="51">
        <v>25</v>
      </c>
      <c r="B31" s="85" t="s">
        <v>200</v>
      </c>
      <c r="C31" s="88">
        <f>HLOOKUP($C$7,$H$7:$BD$33,$G31,FALSE)</f>
        <v>99.807154347847089</v>
      </c>
      <c r="D31" s="88">
        <f>HLOOKUP($D$7,$H$7:$BD$33,$G31,FALSE)</f>
        <v>81.66211344000007</v>
      </c>
      <c r="E31" s="89">
        <f t="shared" si="3"/>
        <v>-0.18180100441104718</v>
      </c>
      <c r="G31" s="51">
        <f t="shared" si="0"/>
        <v>25</v>
      </c>
      <c r="H31" s="85" t="s">
        <v>200</v>
      </c>
      <c r="I31" s="86">
        <f t="shared" ref="I31:AE31" si="15">I25+I27+I28+I29</f>
        <v>77.800892900000022</v>
      </c>
      <c r="J31" s="86">
        <f t="shared" si="15"/>
        <v>94.644525479999999</v>
      </c>
      <c r="K31" s="86">
        <f t="shared" si="15"/>
        <v>70.629866509999971</v>
      </c>
      <c r="L31" s="86">
        <f t="shared" si="15"/>
        <v>111.10687665999998</v>
      </c>
      <c r="M31" s="86">
        <f t="shared" si="15"/>
        <v>45.325441340000026</v>
      </c>
      <c r="N31" s="86">
        <f t="shared" si="15"/>
        <v>87.98138193000004</v>
      </c>
      <c r="O31" s="86">
        <f t="shared" si="15"/>
        <v>132.02826607999998</v>
      </c>
      <c r="P31" s="86">
        <f t="shared" si="15"/>
        <v>123.1</v>
      </c>
      <c r="Q31" s="86">
        <f t="shared" si="15"/>
        <v>105.64681671</v>
      </c>
      <c r="R31" s="86">
        <f t="shared" si="15"/>
        <v>94.886658069999967</v>
      </c>
      <c r="S31" s="86">
        <f t="shared" si="15"/>
        <v>57.428472359999958</v>
      </c>
      <c r="T31" s="86">
        <f t="shared" si="15"/>
        <v>91.720371839999956</v>
      </c>
      <c r="U31" s="86">
        <f t="shared" si="15"/>
        <v>91.850211179999945</v>
      </c>
      <c r="V31" s="86">
        <f t="shared" si="15"/>
        <v>95.226815070000015</v>
      </c>
      <c r="W31" s="86">
        <f t="shared" si="15"/>
        <v>108.84562639999996</v>
      </c>
      <c r="X31" s="86">
        <f t="shared" si="15"/>
        <v>151.36591756000004</v>
      </c>
      <c r="Y31" s="86">
        <f t="shared" si="15"/>
        <v>103.18760492000004</v>
      </c>
      <c r="Z31" s="86">
        <f t="shared" si="15"/>
        <v>91.101717910000062</v>
      </c>
      <c r="AA31" s="86">
        <f t="shared" si="15"/>
        <v>97.767246650000033</v>
      </c>
      <c r="AB31" s="86">
        <f t="shared" si="15"/>
        <v>152.02939168000003</v>
      </c>
      <c r="AC31" s="86">
        <f t="shared" si="15"/>
        <v>97.442282880000036</v>
      </c>
      <c r="AD31" s="86">
        <f t="shared" si="15"/>
        <v>103.01522548000003</v>
      </c>
      <c r="AE31" s="86">
        <f t="shared" si="15"/>
        <v>110.64255732000005</v>
      </c>
      <c r="AF31" s="86">
        <f>AF25+AF27+AF28+AF29</f>
        <v>115.16226758131363</v>
      </c>
      <c r="AG31" s="86">
        <f t="shared" ref="AG31:AM31" si="16">AG25+AG27+AG28+AG29</f>
        <v>103.39224389000003</v>
      </c>
      <c r="AH31" s="86">
        <f t="shared" si="16"/>
        <v>92.232737150000005</v>
      </c>
      <c r="AI31" s="86">
        <f t="shared" si="16"/>
        <v>109.40993016999997</v>
      </c>
      <c r="AJ31" s="86">
        <f t="shared" si="16"/>
        <v>112.40512253786805</v>
      </c>
      <c r="AK31" s="86">
        <f t="shared" si="16"/>
        <v>73.942105089472108</v>
      </c>
      <c r="AL31" s="86">
        <f t="shared" si="16"/>
        <v>71.688433377798106</v>
      </c>
      <c r="AM31" s="86">
        <f t="shared" si="16"/>
        <v>-11.968902678896768</v>
      </c>
      <c r="AN31" s="86">
        <f>AN25+AN27+AN28+AN29</f>
        <v>102.37536540577838</v>
      </c>
      <c r="AO31" s="86">
        <f>AO25+AO27+AO28+AO29</f>
        <v>76.584508460742228</v>
      </c>
      <c r="AP31" s="86">
        <f>AP25+AP27+AP28+AP29</f>
        <v>84.69239529886363</v>
      </c>
      <c r="AQ31" s="86">
        <f t="shared" ref="AQ31" si="17">AQ25+AQ27+AQ28+AQ29</f>
        <v>135.23000000000002</v>
      </c>
      <c r="AR31" s="86">
        <f>AR25+AR27+AR28+AR29</f>
        <v>177.41770581794344</v>
      </c>
      <c r="AS31" s="86">
        <f t="shared" ref="AS31:AU31" si="18">AS25+AS27+AS28+AS29</f>
        <v>125.45029065995817</v>
      </c>
      <c r="AT31" s="86">
        <f t="shared" si="18"/>
        <v>92.731484411242931</v>
      </c>
      <c r="AU31" s="86">
        <f t="shared" si="18"/>
        <v>135.54441527933776</v>
      </c>
      <c r="AV31" s="86">
        <f>AV25+AV27+AV28+AV29</f>
        <v>91.470139508802191</v>
      </c>
      <c r="AW31" s="86">
        <f t="shared" ref="AW31:BB31" si="19">AW25+AW27+AW28+AW29</f>
        <v>87.542605531852089</v>
      </c>
      <c r="AX31" s="86">
        <f t="shared" si="19"/>
        <v>89.055551289756409</v>
      </c>
      <c r="AY31" s="86">
        <f t="shared" si="19"/>
        <v>101.7640779261087</v>
      </c>
      <c r="AZ31" s="86">
        <f t="shared" si="19"/>
        <v>99.807154347847089</v>
      </c>
      <c r="BA31" s="86">
        <f t="shared" si="19"/>
        <v>108.58408633288826</v>
      </c>
      <c r="BB31" s="86">
        <f t="shared" si="19"/>
        <v>71.067388218598666</v>
      </c>
      <c r="BC31" s="86">
        <f>BC25+BC27+BC28+BC29</f>
        <v>46.041511776292566</v>
      </c>
      <c r="BD31" s="86">
        <f>BD25+BD27+BD28+BD29</f>
        <v>81.66211344000007</v>
      </c>
    </row>
    <row r="32" spans="1:56">
      <c r="A32" s="51">
        <v>26</v>
      </c>
      <c r="B32" s="35"/>
      <c r="C32" s="81"/>
      <c r="D32" s="81"/>
      <c r="E32" s="37"/>
      <c r="G32" s="51">
        <f t="shared" si="0"/>
        <v>26</v>
      </c>
      <c r="H32" s="35"/>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row>
    <row r="33" spans="1:57">
      <c r="A33" s="51">
        <v>27</v>
      </c>
      <c r="B33" s="85" t="s">
        <v>177</v>
      </c>
      <c r="C33" s="88">
        <f>HLOOKUP($C$7,$H$7:$BD$33,$G33,FALSE)</f>
        <v>149.39584008768969</v>
      </c>
      <c r="D33" s="88">
        <f>HLOOKUP($D$7,$H$7:$BD$33,$G33,FALSE)</f>
        <v>143.11503005000006</v>
      </c>
      <c r="E33" s="87">
        <f t="shared" si="3"/>
        <v>-4.2041398435211041E-2</v>
      </c>
      <c r="F33" s="59"/>
      <c r="G33" s="51">
        <f t="shared" si="0"/>
        <v>27</v>
      </c>
      <c r="H33" s="85" t="s">
        <v>177</v>
      </c>
      <c r="I33" s="86">
        <f t="shared" ref="I33:AE33" si="20">I31-I29</f>
        <v>119.75269847000003</v>
      </c>
      <c r="J33" s="86">
        <f t="shared" si="20"/>
        <v>140.83003524</v>
      </c>
      <c r="K33" s="86">
        <f t="shared" si="20"/>
        <v>116.97134203999997</v>
      </c>
      <c r="L33" s="86">
        <f t="shared" si="20"/>
        <v>159.00253423999999</v>
      </c>
      <c r="M33" s="86">
        <f t="shared" si="20"/>
        <v>92.777901910000026</v>
      </c>
      <c r="N33" s="86">
        <f t="shared" si="20"/>
        <v>136.36632230000004</v>
      </c>
      <c r="O33" s="86">
        <f t="shared" si="20"/>
        <v>180.89013841999997</v>
      </c>
      <c r="P33" s="86">
        <f t="shared" si="20"/>
        <v>172.1</v>
      </c>
      <c r="Q33" s="86">
        <f t="shared" si="20"/>
        <v>153.50584536</v>
      </c>
      <c r="R33" s="86">
        <f t="shared" si="20"/>
        <v>141.99036778999996</v>
      </c>
      <c r="S33" s="86">
        <f t="shared" si="20"/>
        <v>106.45215646999996</v>
      </c>
      <c r="T33" s="86">
        <f t="shared" si="20"/>
        <v>143.76368152999996</v>
      </c>
      <c r="U33" s="86">
        <f t="shared" si="20"/>
        <v>143.38770248999995</v>
      </c>
      <c r="V33" s="86">
        <f t="shared" si="20"/>
        <v>147.56513600000002</v>
      </c>
      <c r="W33" s="86">
        <f t="shared" si="20"/>
        <v>160.55474137999997</v>
      </c>
      <c r="X33" s="86">
        <f t="shared" si="20"/>
        <v>187.03663926000004</v>
      </c>
      <c r="Y33" s="86">
        <f t="shared" si="20"/>
        <v>153.65594515000004</v>
      </c>
      <c r="Z33" s="86">
        <f t="shared" si="20"/>
        <v>141.67942827000007</v>
      </c>
      <c r="AA33" s="86">
        <f t="shared" si="20"/>
        <v>148.98190353000004</v>
      </c>
      <c r="AB33" s="86">
        <f t="shared" si="20"/>
        <v>203.46099371000003</v>
      </c>
      <c r="AC33" s="86">
        <f t="shared" si="20"/>
        <v>148.89923142000004</v>
      </c>
      <c r="AD33" s="86">
        <f t="shared" si="20"/>
        <v>155.29624958000002</v>
      </c>
      <c r="AE33" s="86">
        <f t="shared" si="20"/>
        <v>162.73409286000006</v>
      </c>
      <c r="AF33" s="86">
        <f>AF31-AF29</f>
        <v>163.94535199131366</v>
      </c>
      <c r="AG33" s="86">
        <f>172.34723633-AG67</f>
        <v>152.76533661999997</v>
      </c>
      <c r="AH33" s="86">
        <f>155.26443032-AH67</f>
        <v>141.73772126</v>
      </c>
      <c r="AI33" s="86">
        <f>174.98602269-AI67</f>
        <v>159.32966021999999</v>
      </c>
      <c r="AJ33" s="86">
        <f>AJ31-AJ29</f>
        <v>163.66890341786805</v>
      </c>
      <c r="AK33" s="86">
        <f>137.354311322426-AK67</f>
        <v>120.42025945242602</v>
      </c>
      <c r="AL33" s="86">
        <v>115.09148957484453</v>
      </c>
      <c r="AM33" s="86">
        <f>71.84-AM67</f>
        <v>51.977266710000002</v>
      </c>
      <c r="AN33" s="86">
        <v>146.092286297025</v>
      </c>
      <c r="AO33" s="86">
        <f t="shared" ref="AO33:AT33" si="21">AO31-AO29</f>
        <v>120.58377339727734</v>
      </c>
      <c r="AP33" s="86">
        <f t="shared" si="21"/>
        <v>131.09156418453671</v>
      </c>
      <c r="AQ33" s="86">
        <f t="shared" si="21"/>
        <v>180.37</v>
      </c>
      <c r="AR33" s="86">
        <f t="shared" si="21"/>
        <v>225.66411203321462</v>
      </c>
      <c r="AS33" s="86">
        <f t="shared" si="21"/>
        <v>167.06066236419252</v>
      </c>
      <c r="AT33" s="86">
        <f t="shared" si="21"/>
        <v>134.53148441124293</v>
      </c>
      <c r="AU33" s="86">
        <f t="shared" ref="AU33:BB33" si="22">AU31-AU29</f>
        <v>177.19136343973611</v>
      </c>
      <c r="AV33" s="86">
        <f t="shared" si="22"/>
        <v>136.63356888225672</v>
      </c>
      <c r="AW33" s="86">
        <f t="shared" si="22"/>
        <v>129.64940727905218</v>
      </c>
      <c r="AX33" s="86">
        <f t="shared" si="22"/>
        <v>131.6550808910221</v>
      </c>
      <c r="AY33" s="86">
        <f t="shared" si="22"/>
        <v>146.94747254559954</v>
      </c>
      <c r="AZ33" s="86">
        <f t="shared" si="22"/>
        <v>149.39584008768969</v>
      </c>
      <c r="BA33" s="86">
        <f t="shared" si="22"/>
        <v>156.38717736288825</v>
      </c>
      <c r="BB33" s="86">
        <f t="shared" si="22"/>
        <v>120.08989306859867</v>
      </c>
      <c r="BC33" s="86">
        <f>BC31-BC29</f>
        <v>102.54657376629261</v>
      </c>
      <c r="BD33" s="86">
        <f>BD31-BD29</f>
        <v>143.11503005000006</v>
      </c>
      <c r="BE33" s="45"/>
    </row>
    <row r="34" spans="1:57">
      <c r="BC34" s="140"/>
    </row>
    <row r="35" spans="1:57">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BC35" s="140"/>
    </row>
    <row r="36" spans="1:57">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BC36" s="140"/>
    </row>
    <row r="37" spans="1:57" ht="28.5" customHeight="1">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BC37" s="140"/>
    </row>
    <row r="38" spans="1:57" ht="28.5" customHeight="1">
      <c r="B38" s="64"/>
      <c r="C38" s="64"/>
      <c r="D38" s="64"/>
      <c r="E38" s="71"/>
      <c r="F38" s="64"/>
      <c r="G38" s="82"/>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BC38" s="140"/>
    </row>
    <row r="39" spans="1:57" ht="28.5" customHeight="1">
      <c r="BC39" s="140"/>
    </row>
    <row r="40" spans="1:57" ht="23.5">
      <c r="B40" s="11" t="s">
        <v>28</v>
      </c>
      <c r="C40" s="12"/>
      <c r="D40" s="12"/>
      <c r="E40" s="12"/>
      <c r="H40" s="11" t="s">
        <v>28</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39"/>
      <c r="BD40" s="12"/>
    </row>
    <row r="41" spans="1:57" ht="9" customHeight="1">
      <c r="BC41" s="140"/>
    </row>
    <row r="42" spans="1:57" s="110" customFormat="1">
      <c r="A42" s="111">
        <v>1</v>
      </c>
      <c r="B42" s="3" t="s">
        <v>191</v>
      </c>
      <c r="C42" s="208" t="str">
        <f>C7</f>
        <v>4Q24</v>
      </c>
      <c r="D42" s="208" t="str">
        <f>D7</f>
        <v>4Q25</v>
      </c>
      <c r="E42" s="208" t="s">
        <v>201</v>
      </c>
      <c r="G42" s="111">
        <v>1</v>
      </c>
      <c r="H42" s="3" t="s">
        <v>202</v>
      </c>
      <c r="I42" s="208" t="s">
        <v>97</v>
      </c>
      <c r="J42" s="208" t="s">
        <v>98</v>
      </c>
      <c r="K42" s="208" t="s">
        <v>99</v>
      </c>
      <c r="L42" s="208" t="s">
        <v>100</v>
      </c>
      <c r="M42" s="208" t="s">
        <v>101</v>
      </c>
      <c r="N42" s="208" t="s">
        <v>102</v>
      </c>
      <c r="O42" s="208" t="s">
        <v>103</v>
      </c>
      <c r="P42" s="208" t="s">
        <v>104</v>
      </c>
      <c r="Q42" s="208" t="s">
        <v>105</v>
      </c>
      <c r="R42" s="208" t="s">
        <v>106</v>
      </c>
      <c r="S42" s="208" t="s">
        <v>107</v>
      </c>
      <c r="T42" s="208" t="s">
        <v>108</v>
      </c>
      <c r="U42" s="208" t="s">
        <v>109</v>
      </c>
      <c r="V42" s="208" t="s">
        <v>110</v>
      </c>
      <c r="W42" s="208" t="s">
        <v>111</v>
      </c>
      <c r="X42" s="208" t="s">
        <v>112</v>
      </c>
      <c r="Y42" s="208" t="s">
        <v>113</v>
      </c>
      <c r="Z42" s="208" t="s">
        <v>114</v>
      </c>
      <c r="AA42" s="208" t="s">
        <v>115</v>
      </c>
      <c r="AB42" s="208" t="s">
        <v>116</v>
      </c>
      <c r="AC42" s="208" t="s">
        <v>117</v>
      </c>
      <c r="AD42" s="208" t="s">
        <v>160</v>
      </c>
      <c r="AE42" s="208" t="s">
        <v>203</v>
      </c>
      <c r="AF42" s="208" t="s">
        <v>204</v>
      </c>
      <c r="AG42" s="208" t="s">
        <v>121</v>
      </c>
      <c r="AH42" s="208" t="s">
        <v>122</v>
      </c>
      <c r="AI42" s="208" t="s">
        <v>123</v>
      </c>
      <c r="AJ42" s="208" t="s">
        <v>124</v>
      </c>
      <c r="AK42" s="208" t="s">
        <v>125</v>
      </c>
      <c r="AL42" s="208" t="s">
        <v>126</v>
      </c>
      <c r="AM42" s="208" t="s">
        <v>127</v>
      </c>
      <c r="AN42" s="208" t="s">
        <v>128</v>
      </c>
      <c r="AO42" s="208" t="s">
        <v>129</v>
      </c>
      <c r="AP42" s="208" t="s">
        <v>130</v>
      </c>
      <c r="AQ42" s="208" t="s">
        <v>131</v>
      </c>
      <c r="AR42" s="208" t="s">
        <v>132</v>
      </c>
      <c r="AS42" s="208" t="s">
        <v>133</v>
      </c>
      <c r="AT42" s="208" t="s">
        <v>134</v>
      </c>
      <c r="AU42" s="208" t="s">
        <v>135</v>
      </c>
      <c r="AV42" s="208" t="s">
        <v>94</v>
      </c>
      <c r="AW42" s="208" t="s">
        <v>136</v>
      </c>
      <c r="AX42" s="208" t="s">
        <v>137</v>
      </c>
      <c r="AY42" s="208" t="s">
        <v>138</v>
      </c>
      <c r="AZ42" s="208" t="s">
        <v>95</v>
      </c>
      <c r="BA42" s="208" t="s">
        <v>231</v>
      </c>
      <c r="BB42" s="208" t="s">
        <v>232</v>
      </c>
      <c r="BC42" s="208" t="s">
        <v>252</v>
      </c>
      <c r="BD42" s="208" t="s">
        <v>263</v>
      </c>
    </row>
    <row r="43" spans="1:57" s="110" customFormat="1">
      <c r="A43" s="111">
        <v>2</v>
      </c>
      <c r="B43" s="3" t="s">
        <v>161</v>
      </c>
      <c r="C43" s="208"/>
      <c r="D43" s="208"/>
      <c r="E43" s="208"/>
      <c r="G43" s="111">
        <f>G42+1</f>
        <v>2</v>
      </c>
      <c r="H43" s="3" t="s">
        <v>161</v>
      </c>
      <c r="I43" s="208"/>
      <c r="J43" s="208"/>
      <c r="K43" s="208"/>
      <c r="L43" s="208"/>
      <c r="M43" s="208"/>
      <c r="N43" s="208"/>
      <c r="O43" s="208"/>
      <c r="P43" s="208"/>
      <c r="Q43" s="208"/>
      <c r="R43" s="208"/>
      <c r="S43" s="208"/>
      <c r="T43" s="208"/>
      <c r="U43" s="208"/>
      <c r="V43" s="208"/>
      <c r="W43" s="208"/>
      <c r="X43" s="208"/>
      <c r="Y43" s="208"/>
      <c r="Z43" s="208"/>
      <c r="AA43" s="208"/>
      <c r="AB43" s="208"/>
      <c r="AC43" s="208" t="s">
        <v>117</v>
      </c>
      <c r="AD43" s="208" t="s">
        <v>117</v>
      </c>
      <c r="AE43" s="208" t="s">
        <v>117</v>
      </c>
      <c r="AF43" s="208" t="s">
        <v>117</v>
      </c>
      <c r="AG43" s="208"/>
      <c r="AH43" s="208"/>
      <c r="AI43" s="208"/>
      <c r="AJ43" s="208" t="s">
        <v>117</v>
      </c>
      <c r="AK43" s="208"/>
      <c r="AL43" s="208"/>
      <c r="AM43" s="208"/>
      <c r="AN43" s="208"/>
      <c r="AO43" s="208"/>
      <c r="AP43" s="208"/>
      <c r="AQ43" s="208"/>
      <c r="AR43" s="208"/>
      <c r="AS43" s="208"/>
      <c r="AT43" s="208"/>
      <c r="AU43" s="208"/>
      <c r="AV43" s="208"/>
      <c r="AW43" s="208"/>
      <c r="AX43" s="208"/>
      <c r="AY43" s="208"/>
      <c r="AZ43" s="208"/>
      <c r="BA43" s="208"/>
      <c r="BB43" s="208"/>
      <c r="BC43" s="208"/>
      <c r="BD43" s="208"/>
    </row>
    <row r="44" spans="1:57" ht="6.75" customHeight="1">
      <c r="A44" s="51">
        <v>3</v>
      </c>
      <c r="G44" s="51">
        <f t="shared" ref="G44:G67" si="23">G43+1</f>
        <v>3</v>
      </c>
      <c r="BC44" s="140"/>
    </row>
    <row r="45" spans="1:57">
      <c r="A45" s="51">
        <v>4</v>
      </c>
      <c r="B45" s="85" t="s">
        <v>191</v>
      </c>
      <c r="C45" s="86">
        <f t="shared" ref="C45:C50" si="24">HLOOKUP($C$42,$H$42:$BD$67,$G45,FALSE)</f>
        <v>57.358643819999983</v>
      </c>
      <c r="D45" s="86">
        <f t="shared" ref="D45:D50" si="25">HLOOKUP($D$42,$H$42:$BD$67,$G45,FALSE)</f>
        <v>57.998402540000001</v>
      </c>
      <c r="E45" s="90">
        <f>D45/C45-1</f>
        <v>1.1153658409492229E-2</v>
      </c>
      <c r="G45" s="51">
        <f t="shared" si="23"/>
        <v>4</v>
      </c>
      <c r="H45" s="85" t="s">
        <v>191</v>
      </c>
      <c r="I45" s="91"/>
      <c r="J45" s="91"/>
      <c r="K45" s="91"/>
      <c r="L45" s="91"/>
      <c r="M45" s="91"/>
      <c r="N45" s="91"/>
      <c r="O45" s="91"/>
      <c r="P45" s="91"/>
      <c r="Q45" s="86">
        <f t="shared" ref="Q45:X45" si="26">SUM(Q46:Q50)</f>
        <v>55.583655499999999</v>
      </c>
      <c r="R45" s="86">
        <f t="shared" si="26"/>
        <v>54.9629184</v>
      </c>
      <c r="S45" s="86">
        <f t="shared" si="26"/>
        <v>49.082694860000004</v>
      </c>
      <c r="T45" s="86">
        <f t="shared" si="26"/>
        <v>57.097280980000001</v>
      </c>
      <c r="U45" s="86">
        <f t="shared" si="26"/>
        <v>47.636293819999999</v>
      </c>
      <c r="V45" s="86">
        <f t="shared" si="26"/>
        <v>46.971507459999998</v>
      </c>
      <c r="W45" s="86">
        <f t="shared" si="26"/>
        <v>51.493997259999993</v>
      </c>
      <c r="X45" s="86">
        <f t="shared" si="26"/>
        <v>46.735641690000008</v>
      </c>
      <c r="Y45" s="86">
        <f t="shared" ref="Y45:AE45" si="27">SUM(Y46:Y50)</f>
        <v>52.673049919999997</v>
      </c>
      <c r="Z45" s="86">
        <f t="shared" si="27"/>
        <v>52.289317230000002</v>
      </c>
      <c r="AA45" s="86">
        <f t="shared" si="27"/>
        <v>40.085187489999996</v>
      </c>
      <c r="AB45" s="86">
        <f t="shared" si="27"/>
        <v>38.385628109999999</v>
      </c>
      <c r="AC45" s="86">
        <f t="shared" si="27"/>
        <v>41.960275469999999</v>
      </c>
      <c r="AD45" s="86">
        <f t="shared" si="27"/>
        <v>41.306034390000001</v>
      </c>
      <c r="AE45" s="86">
        <f t="shared" si="27"/>
        <v>44.203243349999994</v>
      </c>
      <c r="AF45" s="86">
        <f t="shared" ref="AF45:AM45" si="28">SUM(AF46:AF50)</f>
        <v>47.314848999999995</v>
      </c>
      <c r="AG45" s="86">
        <f t="shared" si="28"/>
        <v>37.681899710000003</v>
      </c>
      <c r="AH45" s="86">
        <f t="shared" si="28"/>
        <v>34.790087870000001</v>
      </c>
      <c r="AI45" s="86">
        <f t="shared" si="28"/>
        <v>42.889557519999997</v>
      </c>
      <c r="AJ45" s="86">
        <f t="shared" si="28"/>
        <v>44.078781450000001</v>
      </c>
      <c r="AK45" s="86">
        <f t="shared" si="28"/>
        <v>37.959551309999995</v>
      </c>
      <c r="AL45" s="86">
        <f t="shared" si="28"/>
        <v>39.865567810000002</v>
      </c>
      <c r="AM45" s="86">
        <f t="shared" si="28"/>
        <v>48.977401450000002</v>
      </c>
      <c r="AN45" s="86">
        <f>SUM(AN46:AN50)</f>
        <v>45.018566209999996</v>
      </c>
      <c r="AO45" s="86">
        <f>SUM(AO46:AO50)</f>
        <v>55.119108129999994</v>
      </c>
      <c r="AP45" s="86">
        <f t="shared" ref="AP45:AR45" si="29">SUM(AP46:AP50)</f>
        <v>52.990921339999993</v>
      </c>
      <c r="AQ45" s="86">
        <f t="shared" si="29"/>
        <v>59.16</v>
      </c>
      <c r="AR45" s="86">
        <f t="shared" si="29"/>
        <v>85.251319180000024</v>
      </c>
      <c r="AS45" s="86">
        <v>59.551101580000008</v>
      </c>
      <c r="AT45" s="86">
        <v>63.674510569999995</v>
      </c>
      <c r="AU45" s="86">
        <f>SUM(AU46:AU51)</f>
        <v>126.55246784000001</v>
      </c>
      <c r="AV45" s="86">
        <v>62.456728449999957</v>
      </c>
      <c r="AW45" s="86">
        <f>SUM(AW46:AW50)</f>
        <v>50.880384659999997</v>
      </c>
      <c r="AX45" s="86">
        <f>SUM(AX46:AX50)</f>
        <v>53.065952310000007</v>
      </c>
      <c r="AY45" s="86">
        <f>SUM(AY46:AY50)</f>
        <v>59.727088880000018</v>
      </c>
      <c r="AZ45" s="86">
        <f>SUM(AZ46:AZ50)</f>
        <v>57.358643819999983</v>
      </c>
      <c r="BA45" s="86">
        <f t="shared" ref="BA45:BB45" si="30">SUM(BA46:BA50)</f>
        <v>56.378951010000009</v>
      </c>
      <c r="BB45" s="86">
        <f t="shared" si="30"/>
        <v>57.309596529999993</v>
      </c>
      <c r="BC45" s="164">
        <f>SUM(BC46:BC50)</f>
        <v>60.614455199999995</v>
      </c>
      <c r="BD45" s="86">
        <f>SUM(BD46:BD50)</f>
        <v>57.998402540000001</v>
      </c>
    </row>
    <row r="46" spans="1:57">
      <c r="A46" s="51">
        <v>5</v>
      </c>
      <c r="B46" s="5" t="s">
        <v>193</v>
      </c>
      <c r="C46" s="7">
        <f t="shared" si="24"/>
        <v>22.569555789999985</v>
      </c>
      <c r="D46" s="7">
        <f t="shared" si="25"/>
        <v>29.651331240000001</v>
      </c>
      <c r="E46" s="30">
        <f>D46/C46-1</f>
        <v>0.31377557963005098</v>
      </c>
      <c r="G46" s="51">
        <f t="shared" si="23"/>
        <v>5</v>
      </c>
      <c r="H46" s="5" t="s">
        <v>193</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c r="AX46" s="7">
        <v>22.21226522000001</v>
      </c>
      <c r="AY46" s="7">
        <v>21.520888490000001</v>
      </c>
      <c r="AZ46" s="7">
        <v>22.569555789999985</v>
      </c>
      <c r="BA46" s="7">
        <v>28.487035909999999</v>
      </c>
      <c r="BB46" s="7">
        <v>28.957311909999998</v>
      </c>
      <c r="BC46" s="165">
        <v>28.378879599999994</v>
      </c>
      <c r="BD46" s="7">
        <v>29.651331240000001</v>
      </c>
    </row>
    <row r="47" spans="1:57">
      <c r="A47" s="51">
        <v>6</v>
      </c>
      <c r="B47" s="5" t="s">
        <v>194</v>
      </c>
      <c r="C47" s="7">
        <f t="shared" si="24"/>
        <v>21.512174269999996</v>
      </c>
      <c r="D47" s="7">
        <f t="shared" si="25"/>
        <v>22.919541929999994</v>
      </c>
      <c r="E47" s="30">
        <f t="shared" ref="E47:E48" si="31">D47/C47-1</f>
        <v>6.5421916089749121E-2</v>
      </c>
      <c r="G47" s="51">
        <f t="shared" si="23"/>
        <v>6</v>
      </c>
      <c r="H47" s="5" t="s">
        <v>194</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c r="AX47" s="7">
        <v>18.587312760000003</v>
      </c>
      <c r="AY47" s="7">
        <v>20.280377060000006</v>
      </c>
      <c r="AZ47" s="7">
        <v>21.512174269999996</v>
      </c>
      <c r="BA47" s="7">
        <v>23.033618660000002</v>
      </c>
      <c r="BB47" s="7">
        <v>22.694546469999992</v>
      </c>
      <c r="BC47" s="165">
        <v>22.944632120000009</v>
      </c>
      <c r="BD47" s="7">
        <v>22.919541929999994</v>
      </c>
    </row>
    <row r="48" spans="1:57">
      <c r="A48" s="51">
        <v>7</v>
      </c>
      <c r="B48" s="5" t="s">
        <v>195</v>
      </c>
      <c r="C48" s="7">
        <f t="shared" si="24"/>
        <v>9.1091496100000029</v>
      </c>
      <c r="D48" s="7">
        <f t="shared" si="25"/>
        <v>2.9370018999999985</v>
      </c>
      <c r="E48" s="30">
        <f t="shared" si="31"/>
        <v>-0.6775767194804041</v>
      </c>
      <c r="G48" s="51">
        <f t="shared" si="23"/>
        <v>7</v>
      </c>
      <c r="H48" s="5" t="s">
        <v>205</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c r="AX48" s="7">
        <v>8.7138176699999974</v>
      </c>
      <c r="AY48" s="7">
        <v>16.682688560000003</v>
      </c>
      <c r="AZ48" s="7">
        <v>9.1091496100000029</v>
      </c>
      <c r="BA48" s="7">
        <v>0.52931481000000002</v>
      </c>
      <c r="BB48" s="7">
        <v>2.2228687699999998</v>
      </c>
      <c r="BC48" s="165">
        <v>7.5317662900000002</v>
      </c>
      <c r="BD48" s="7">
        <v>2.9370018999999985</v>
      </c>
    </row>
    <row r="49" spans="1:56">
      <c r="A49" s="51">
        <v>8</v>
      </c>
      <c r="B49" s="5" t="s">
        <v>166</v>
      </c>
      <c r="C49" s="76">
        <f t="shared" si="24"/>
        <v>0</v>
      </c>
      <c r="D49" s="76">
        <f t="shared" si="25"/>
        <v>0</v>
      </c>
      <c r="E49" s="42" t="s">
        <v>144</v>
      </c>
      <c r="G49" s="51">
        <f t="shared" si="23"/>
        <v>8</v>
      </c>
      <c r="H49" s="5" t="s">
        <v>166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3">
        <v>0</v>
      </c>
      <c r="AG49" s="53">
        <v>0</v>
      </c>
      <c r="AH49" s="53"/>
      <c r="AI49" s="53"/>
      <c r="AJ49" s="53"/>
      <c r="AK49" s="53">
        <v>0</v>
      </c>
      <c r="AL49" s="53">
        <v>0</v>
      </c>
      <c r="AM49" s="53">
        <v>0</v>
      </c>
      <c r="AN49" s="53">
        <v>0</v>
      </c>
      <c r="AO49" s="53">
        <v>0</v>
      </c>
      <c r="AP49" s="53">
        <v>0</v>
      </c>
      <c r="AQ49" s="53">
        <v>0</v>
      </c>
      <c r="AR49" s="53">
        <v>0</v>
      </c>
      <c r="AS49" s="53">
        <v>0</v>
      </c>
      <c r="AT49" s="76" t="s">
        <v>144</v>
      </c>
      <c r="AU49" s="76" t="s">
        <v>144</v>
      </c>
      <c r="AV49" s="76">
        <v>0</v>
      </c>
      <c r="AW49" s="76"/>
      <c r="AX49" s="76"/>
      <c r="AY49" s="76"/>
      <c r="AZ49" s="76"/>
      <c r="BA49" s="76"/>
      <c r="BB49" s="76"/>
      <c r="BC49" s="169"/>
      <c r="BD49" s="76"/>
    </row>
    <row r="50" spans="1:56">
      <c r="A50" s="51">
        <v>9</v>
      </c>
      <c r="B50" s="5" t="s">
        <v>164</v>
      </c>
      <c r="C50" s="7">
        <f t="shared" si="24"/>
        <v>4.1677641499999982</v>
      </c>
      <c r="D50" s="7">
        <f t="shared" si="25"/>
        <v>2.4905274700000017</v>
      </c>
      <c r="E50" s="42" t="s">
        <v>144</v>
      </c>
      <c r="G50" s="51">
        <f t="shared" si="23"/>
        <v>9</v>
      </c>
      <c r="H50" s="5" t="s">
        <v>164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c r="AX50" s="7">
        <v>3.55255666</v>
      </c>
      <c r="AY50" s="7">
        <v>1.2431347700000015</v>
      </c>
      <c r="AZ50" s="7">
        <v>4.1677641499999982</v>
      </c>
      <c r="BA50" s="7">
        <v>4.3289816299999995</v>
      </c>
      <c r="BB50" s="7">
        <v>3.4348693800000003</v>
      </c>
      <c r="BC50" s="165">
        <v>1.7591771899999991</v>
      </c>
      <c r="BD50" s="7">
        <v>2.4905274700000017</v>
      </c>
    </row>
    <row r="51" spans="1:56" ht="4.5" customHeight="1">
      <c r="A51" s="51">
        <v>10</v>
      </c>
      <c r="G51" s="51">
        <f t="shared" si="23"/>
        <v>10</v>
      </c>
      <c r="BC51" s="140"/>
    </row>
    <row r="52" spans="1:56">
      <c r="A52" s="51">
        <v>11</v>
      </c>
      <c r="B52" s="85" t="s">
        <v>196</v>
      </c>
      <c r="C52" s="86">
        <f t="shared" ref="C52:C57" si="32">HLOOKUP($C$42,$H$42:$BD$67,$G52,FALSE)</f>
        <v>-28.941861900000013</v>
      </c>
      <c r="D52" s="86">
        <f t="shared" ref="D52:D57" si="33">HLOOKUP($D$42,$H$42:$BD$67,$G52,FALSE)</f>
        <v>-31.714892550000009</v>
      </c>
      <c r="E52" s="90">
        <f>D52/C52-1</f>
        <v>9.5813830484761997E-2</v>
      </c>
      <c r="G52" s="51">
        <f t="shared" si="23"/>
        <v>11</v>
      </c>
      <c r="H52" s="85" t="s">
        <v>196</v>
      </c>
      <c r="I52" s="91"/>
      <c r="J52" s="91"/>
      <c r="K52" s="91"/>
      <c r="L52" s="91"/>
      <c r="M52" s="91"/>
      <c r="N52" s="91"/>
      <c r="O52" s="91"/>
      <c r="P52" s="91"/>
      <c r="Q52" s="86">
        <f t="shared" ref="Q52:X52" si="34">SUM(Q53:Q57)</f>
        <v>-32.306038980000004</v>
      </c>
      <c r="R52" s="86">
        <f t="shared" si="34"/>
        <v>-41.795531619999998</v>
      </c>
      <c r="S52" s="86">
        <f t="shared" si="34"/>
        <v>-30.759452379999999</v>
      </c>
      <c r="T52" s="86">
        <f t="shared" si="34"/>
        <v>-39.480105159999994</v>
      </c>
      <c r="U52" s="86">
        <f t="shared" si="34"/>
        <v>-34.353933659999996</v>
      </c>
      <c r="V52" s="86">
        <f t="shared" si="34"/>
        <v>-33.9733351</v>
      </c>
      <c r="W52" s="86">
        <f t="shared" si="34"/>
        <v>-35.661452799999999</v>
      </c>
      <c r="X52" s="86">
        <f t="shared" si="34"/>
        <v>-37.405603590000005</v>
      </c>
      <c r="Y52" s="86">
        <f t="shared" ref="Y52:AE52" si="35">SUM(Y53:Y57)</f>
        <v>-40.773118190000005</v>
      </c>
      <c r="Z52" s="86">
        <f t="shared" si="35"/>
        <v>-37.811925799999997</v>
      </c>
      <c r="AA52" s="86">
        <f t="shared" si="35"/>
        <v>-30.209554599999997</v>
      </c>
      <c r="AB52" s="86">
        <f>+SUM(AB53:AB57)</f>
        <v>-28.78228824</v>
      </c>
      <c r="AC52" s="86">
        <f t="shared" si="35"/>
        <v>-23.492882950000002</v>
      </c>
      <c r="AD52" s="86">
        <f t="shared" si="35"/>
        <v>-20.57628506</v>
      </c>
      <c r="AE52" s="86">
        <f t="shared" si="35"/>
        <v>-26.275369099999999</v>
      </c>
      <c r="AF52" s="86">
        <f t="shared" ref="AF52:AO52" si="36">SUM(AF53:AF57)</f>
        <v>-25.377440749999998</v>
      </c>
      <c r="AG52" s="86">
        <f t="shared" si="36"/>
        <v>-15.04848601</v>
      </c>
      <c r="AH52" s="86">
        <f t="shared" si="36"/>
        <v>-19.82229126</v>
      </c>
      <c r="AI52" s="86">
        <f t="shared" si="36"/>
        <v>-24.184998679999996</v>
      </c>
      <c r="AJ52" s="86">
        <f t="shared" si="36"/>
        <v>-25.542623639999995</v>
      </c>
      <c r="AK52" s="86">
        <f t="shared" si="36"/>
        <v>-17.433526780000001</v>
      </c>
      <c r="AL52" s="86">
        <f t="shared" si="36"/>
        <v>-22.079148879999995</v>
      </c>
      <c r="AM52" s="86">
        <f t="shared" si="36"/>
        <v>-25.808040840000004</v>
      </c>
      <c r="AN52" s="86">
        <f t="shared" si="36"/>
        <v>-23.148096080000023</v>
      </c>
      <c r="AO52" s="86">
        <f t="shared" si="36"/>
        <v>-25.704476410000002</v>
      </c>
      <c r="AP52" s="86">
        <f t="shared" ref="AP52:AR52" si="37">SUM(AP53:AP57)</f>
        <v>-27.852227609999996</v>
      </c>
      <c r="AQ52" s="86">
        <f t="shared" si="37"/>
        <v>-30.58</v>
      </c>
      <c r="AR52" s="86">
        <f t="shared" si="37"/>
        <v>-46.144247429999979</v>
      </c>
      <c r="AS52" s="86">
        <v>-29.944832589999997</v>
      </c>
      <c r="AT52" s="86">
        <v>-59.333584059999993</v>
      </c>
      <c r="AU52" s="86">
        <v>-72.648754730000036</v>
      </c>
      <c r="AV52" s="86">
        <v>-33.400281579999984</v>
      </c>
      <c r="AW52" s="86">
        <f>SUM(AW53:AW57)</f>
        <v>-28.531815300000002</v>
      </c>
      <c r="AX52" s="86">
        <f>SUM(AX53:AX57)</f>
        <v>-28.18843378</v>
      </c>
      <c r="AY52" s="86">
        <f>SUM(AY53:AY57)</f>
        <v>-32.037444769999986</v>
      </c>
      <c r="AZ52" s="86">
        <f>SUM(AZ53:AZ57)</f>
        <v>-28.941861900000013</v>
      </c>
      <c r="BA52" s="86">
        <f t="shared" ref="BA52:BB52" si="38">SUM(BA53:BA57)</f>
        <v>-29.382111589999997</v>
      </c>
      <c r="BB52" s="86">
        <f t="shared" si="38"/>
        <v>-31.987941579999998</v>
      </c>
      <c r="BC52" s="164">
        <f>SUM(BC53:BC57)</f>
        <v>-32.939664710000002</v>
      </c>
      <c r="BD52" s="86">
        <f>SUM(BD53:BD57)</f>
        <v>-31.714892550000009</v>
      </c>
    </row>
    <row r="53" spans="1:56">
      <c r="A53" s="51">
        <v>12</v>
      </c>
      <c r="B53" s="5" t="s">
        <v>166</v>
      </c>
      <c r="C53" s="38">
        <f t="shared" si="32"/>
        <v>-1.3111070600000003</v>
      </c>
      <c r="D53" s="38">
        <f t="shared" si="33"/>
        <v>-1.9889425200000006</v>
      </c>
      <c r="E53" s="30">
        <f t="shared" ref="E53:E57" si="39">D53/C53-1</f>
        <v>0.51699474488376262</v>
      </c>
      <c r="G53" s="51">
        <f t="shared" si="23"/>
        <v>12</v>
      </c>
      <c r="H53" s="5" t="s">
        <v>166</v>
      </c>
      <c r="I53" s="7"/>
      <c r="J53" s="7"/>
      <c r="K53" s="7"/>
      <c r="L53" s="7"/>
      <c r="M53" s="7"/>
      <c r="N53" s="7"/>
      <c r="O53" s="7"/>
      <c r="P53" s="7"/>
      <c r="Q53" s="38">
        <v>-8.6869376099999993</v>
      </c>
      <c r="R53" s="38">
        <v>-10.98468411</v>
      </c>
      <c r="S53" s="38">
        <v>-7.5221053799999993</v>
      </c>
      <c r="T53" s="38">
        <v>-8.4976941799999999</v>
      </c>
      <c r="U53" s="38">
        <v>-8.7930702800000002</v>
      </c>
      <c r="V53" s="38">
        <v>-8.4213767199999996</v>
      </c>
      <c r="W53" s="38">
        <v>-9.6291035800000007</v>
      </c>
      <c r="X53" s="38">
        <v>-10.23718113</v>
      </c>
      <c r="Y53" s="38">
        <v>-10.758186589999999</v>
      </c>
      <c r="Z53" s="38">
        <v>-10.957769000000001</v>
      </c>
      <c r="AA53" s="38">
        <v>-0.66157777000000095</v>
      </c>
      <c r="AB53" s="38"/>
      <c r="AC53" s="38">
        <v>-0.49616329999999997</v>
      </c>
      <c r="AD53" s="38">
        <v>-0.73033623999999997</v>
      </c>
      <c r="AE53" s="38">
        <v>-1.3071812600000001</v>
      </c>
      <c r="AF53" s="38">
        <v>-0.91939967999999994</v>
      </c>
      <c r="AG53" s="38">
        <v>-0.7</v>
      </c>
      <c r="AH53" s="38">
        <v>-2.2193861799999999</v>
      </c>
      <c r="AI53" s="38">
        <v>-1.2449280699999998</v>
      </c>
      <c r="AJ53" s="38">
        <v>-1.1551104400000001</v>
      </c>
      <c r="AK53" s="38">
        <v>-0.42041494000000001</v>
      </c>
      <c r="AL53" s="38">
        <v>-1.3291058100000002</v>
      </c>
      <c r="AM53" s="38">
        <v>-1.4726724600000001</v>
      </c>
      <c r="AN53" s="38">
        <v>-1.450856120000001</v>
      </c>
      <c r="AO53" s="38">
        <v>-1.7283915600000002</v>
      </c>
      <c r="AP53" s="38">
        <v>-1.42084948</v>
      </c>
      <c r="AQ53" s="38">
        <v>-1.32</v>
      </c>
      <c r="AR53" s="38">
        <v>-1.5175163499999991</v>
      </c>
      <c r="AS53" s="38">
        <v>-1.01663426</v>
      </c>
      <c r="AT53" s="38">
        <v>-0.80572697000000004</v>
      </c>
      <c r="AU53" s="38">
        <v>-1.5422476599999999</v>
      </c>
      <c r="AV53" s="38">
        <v>-1.2958125899999999</v>
      </c>
      <c r="AW53" s="38">
        <v>-1.3168588799999998</v>
      </c>
      <c r="AX53" s="38">
        <v>-1.1802191899999999</v>
      </c>
      <c r="AY53" s="38">
        <v>-1.7693163700000003</v>
      </c>
      <c r="AZ53" s="38">
        <v>-1.3111070600000003</v>
      </c>
      <c r="BA53" s="38">
        <v>-1.00700923</v>
      </c>
      <c r="BB53" s="38">
        <v>-1.1835470299999997</v>
      </c>
      <c r="BC53" s="167">
        <v>-2.3806476800000005</v>
      </c>
      <c r="BD53" s="38">
        <v>-1.9889425200000006</v>
      </c>
    </row>
    <row r="54" spans="1:56">
      <c r="A54" s="51">
        <v>13</v>
      </c>
      <c r="B54" s="5" t="s">
        <v>167</v>
      </c>
      <c r="C54" s="38">
        <f t="shared" si="32"/>
        <v>-3.2926620000000018E-2</v>
      </c>
      <c r="D54" s="38">
        <f t="shared" si="33"/>
        <v>-1.497707909999999</v>
      </c>
      <c r="E54" s="42" t="s">
        <v>144</v>
      </c>
      <c r="G54" s="51">
        <f t="shared" si="23"/>
        <v>13</v>
      </c>
      <c r="H54" s="5" t="s">
        <v>167</v>
      </c>
      <c r="I54" s="7"/>
      <c r="J54" s="7"/>
      <c r="K54" s="7"/>
      <c r="L54" s="7"/>
      <c r="M54" s="7"/>
      <c r="N54" s="7"/>
      <c r="O54" s="7"/>
      <c r="P54" s="7"/>
      <c r="Q54" s="38">
        <v>-2.4822059000000003</v>
      </c>
      <c r="R54" s="38">
        <v>-8.7254282500000002</v>
      </c>
      <c r="S54" s="38">
        <v>-3.1551651900000004</v>
      </c>
      <c r="T54" s="38">
        <v>-1.36595606</v>
      </c>
      <c r="U54" s="38">
        <v>-2.8579380299999997</v>
      </c>
      <c r="V54" s="38">
        <v>-1.42054E-2</v>
      </c>
      <c r="W54" s="38">
        <v>-0.14726351999999998</v>
      </c>
      <c r="X54" s="38">
        <v>-1.8561880000000003E-2</v>
      </c>
      <c r="Y54" s="38">
        <v>-6.3891180600000004</v>
      </c>
      <c r="Z54" s="38">
        <v>-1.296899E-2</v>
      </c>
      <c r="AA54" s="38">
        <v>-0.13729293999999997</v>
      </c>
      <c r="AB54" s="38">
        <v>-3.7507E-3</v>
      </c>
      <c r="AC54" s="38">
        <v>-0.27191003000000002</v>
      </c>
      <c r="AD54" s="38">
        <v>-0.36717951000000004</v>
      </c>
      <c r="AE54" s="38">
        <v>0</v>
      </c>
      <c r="AF54" s="38">
        <v>-0.34991742999999997</v>
      </c>
      <c r="AG54" s="38">
        <v>-1.3</v>
      </c>
      <c r="AH54" s="38">
        <v>-0.48811054999999998</v>
      </c>
      <c r="AI54" s="38">
        <v>-5.9718210000000001E-2</v>
      </c>
      <c r="AJ54" s="38">
        <v>-1.2861E-4</v>
      </c>
      <c r="AK54" s="38">
        <v>-0.38486635999999996</v>
      </c>
      <c r="AL54" s="38">
        <v>-0.80649880999999979</v>
      </c>
      <c r="AM54" s="38">
        <v>-0.45685123999999999</v>
      </c>
      <c r="AN54" s="38">
        <v>-0.10758014000000027</v>
      </c>
      <c r="AO54" s="38">
        <v>-3.98073E-3</v>
      </c>
      <c r="AP54" s="38">
        <v>-2.1264916600000001</v>
      </c>
      <c r="AQ54" s="38">
        <v>-1.25</v>
      </c>
      <c r="AR54" s="38">
        <v>-13.684449099999998</v>
      </c>
      <c r="AS54" s="38">
        <v>-1.6568624199999999</v>
      </c>
      <c r="AT54" s="38">
        <v>-37.991961079999996</v>
      </c>
      <c r="AU54" s="38">
        <v>-32.808770050000021</v>
      </c>
      <c r="AV54" s="38">
        <v>-4.9519673399999817</v>
      </c>
      <c r="AW54" s="38">
        <v>-1.3389736500000002</v>
      </c>
      <c r="AX54" s="38">
        <v>-0.56569513999999987</v>
      </c>
      <c r="AY54" s="38">
        <v>-1.2038519999999941E-2</v>
      </c>
      <c r="AZ54" s="38">
        <v>-3.2926620000000018E-2</v>
      </c>
      <c r="BA54" s="38">
        <v>-2.1708665200000001</v>
      </c>
      <c r="BB54" s="38">
        <v>-5.7881568300000001</v>
      </c>
      <c r="BC54" s="167">
        <v>-0.16778550999999986</v>
      </c>
      <c r="BD54" s="38">
        <v>-1.497707909999999</v>
      </c>
    </row>
    <row r="55" spans="1:56">
      <c r="A55" s="51">
        <v>14</v>
      </c>
      <c r="B55" s="5" t="s">
        <v>168</v>
      </c>
      <c r="C55" s="38">
        <f t="shared" si="32"/>
        <v>-25.360265210000016</v>
      </c>
      <c r="D55" s="38">
        <f t="shared" si="33"/>
        <v>-25.343411310000008</v>
      </c>
      <c r="E55" s="30">
        <f t="shared" si="39"/>
        <v>-6.6457901210603687E-4</v>
      </c>
      <c r="F55" s="46"/>
      <c r="G55" s="51">
        <f t="shared" si="23"/>
        <v>14</v>
      </c>
      <c r="H55" s="5" t="s">
        <v>168</v>
      </c>
      <c r="I55" s="7"/>
      <c r="J55" s="7"/>
      <c r="K55" s="7"/>
      <c r="L55" s="7"/>
      <c r="M55" s="7"/>
      <c r="N55" s="7"/>
      <c r="O55" s="7"/>
      <c r="P55" s="7"/>
      <c r="Q55" s="38">
        <v>-16.863124360000004</v>
      </c>
      <c r="R55" s="38">
        <v>-19.939320459999998</v>
      </c>
      <c r="S55" s="38">
        <v>-17.725214960000002</v>
      </c>
      <c r="T55" s="38">
        <v>-28.326226259999999</v>
      </c>
      <c r="U55" s="38">
        <v>-20.05521062</v>
      </c>
      <c r="V55" s="38">
        <v>-23.011494200000001</v>
      </c>
      <c r="W55" s="38">
        <v>-24.285353650000001</v>
      </c>
      <c r="X55" s="38">
        <v>-24.371911540000003</v>
      </c>
      <c r="Y55" s="38">
        <v>-18.965294759999999</v>
      </c>
      <c r="Z55" s="38">
        <v>-23.6114715</v>
      </c>
      <c r="AA55" s="38">
        <v>-24.548299199999999</v>
      </c>
      <c r="AB55" s="38">
        <v>-25.285733</v>
      </c>
      <c r="AC55" s="38">
        <v>-19.612186380000001</v>
      </c>
      <c r="AD55" s="38">
        <v>-16.17645731</v>
      </c>
      <c r="AE55" s="38">
        <v>-22.237171629999999</v>
      </c>
      <c r="AF55" s="38">
        <v>-20.756213280000001</v>
      </c>
      <c r="AG55" s="38">
        <v>-11.1</v>
      </c>
      <c r="AH55" s="38">
        <v>-14.580119980000001</v>
      </c>
      <c r="AI55" s="38">
        <v>-20.636345499999997</v>
      </c>
      <c r="AJ55" s="38">
        <v>-19.569473139999999</v>
      </c>
      <c r="AK55" s="38">
        <v>-15.12824548</v>
      </c>
      <c r="AL55" s="38">
        <v>-17.254955880000001</v>
      </c>
      <c r="AM55" s="38">
        <v>-21.71192946</v>
      </c>
      <c r="AN55" s="38">
        <v>-19.526062860000014</v>
      </c>
      <c r="AO55" s="38">
        <v>-21.88420558</v>
      </c>
      <c r="AP55" s="38">
        <v>-22.164677079999997</v>
      </c>
      <c r="AQ55" s="38">
        <v>-25.5</v>
      </c>
      <c r="AR55" s="38">
        <v>-25.822281979999985</v>
      </c>
      <c r="AS55" s="38">
        <v>-24.293511609999999</v>
      </c>
      <c r="AT55" s="38">
        <v>-16.40986096</v>
      </c>
      <c r="AU55" s="38">
        <v>-26.612560300000016</v>
      </c>
      <c r="AV55" s="38">
        <v>-23.998477999999988</v>
      </c>
      <c r="AW55" s="38">
        <v>-23.003694660000001</v>
      </c>
      <c r="AX55" s="38">
        <v>-23.87439603</v>
      </c>
      <c r="AY55" s="38">
        <v>-28.268568559999999</v>
      </c>
      <c r="AZ55" s="38">
        <v>-25.360265210000016</v>
      </c>
      <c r="BA55" s="38">
        <v>-23.575911009999999</v>
      </c>
      <c r="BB55" s="38">
        <v>-21.536889700000003</v>
      </c>
      <c r="BC55" s="167">
        <v>-28.215131380000003</v>
      </c>
      <c r="BD55" s="38">
        <v>-25.343411310000008</v>
      </c>
    </row>
    <row r="56" spans="1:56">
      <c r="A56" s="51">
        <v>15</v>
      </c>
      <c r="B56" s="5" t="s">
        <v>169</v>
      </c>
      <c r="C56" s="57">
        <f t="shared" si="32"/>
        <v>0</v>
      </c>
      <c r="D56" s="38">
        <f t="shared" si="33"/>
        <v>0</v>
      </c>
      <c r="E56" s="42" t="s">
        <v>144</v>
      </c>
      <c r="G56" s="51">
        <f t="shared" si="23"/>
        <v>15</v>
      </c>
      <c r="H56" s="5" t="s">
        <v>169</v>
      </c>
      <c r="I56" s="7"/>
      <c r="J56" s="7"/>
      <c r="K56" s="7"/>
      <c r="L56" s="7"/>
      <c r="M56" s="7"/>
      <c r="N56" s="7"/>
      <c r="O56" s="7"/>
      <c r="P56" s="7"/>
      <c r="Q56" s="38"/>
      <c r="R56" s="38"/>
      <c r="S56" s="38"/>
      <c r="T56" s="38"/>
      <c r="U56" s="38"/>
      <c r="V56" s="38"/>
      <c r="W56" s="38"/>
      <c r="X56" s="38"/>
      <c r="Y56" s="38"/>
      <c r="Z56" s="38"/>
      <c r="AA56" s="38">
        <v>-1.3596464999999998</v>
      </c>
      <c r="AB56" s="38">
        <v>0</v>
      </c>
      <c r="AC56" s="38">
        <v>0</v>
      </c>
      <c r="AD56" s="38">
        <v>0</v>
      </c>
      <c r="AE56" s="38">
        <v>0</v>
      </c>
      <c r="AF56" s="38">
        <v>0</v>
      </c>
      <c r="AG56" s="38">
        <v>0</v>
      </c>
      <c r="AH56" s="38">
        <v>0</v>
      </c>
      <c r="AI56" s="38">
        <v>0</v>
      </c>
      <c r="AJ56" s="38">
        <v>-0.91938023999999996</v>
      </c>
      <c r="AK56" s="38">
        <v>0</v>
      </c>
      <c r="AL56" s="38">
        <v>-0.27632070000000003</v>
      </c>
      <c r="AM56" s="57">
        <v>0</v>
      </c>
      <c r="AN56" s="57">
        <v>0</v>
      </c>
      <c r="AO56" s="57">
        <v>0</v>
      </c>
      <c r="AP56" s="57">
        <v>-3.5201690000000001E-2</v>
      </c>
      <c r="AQ56" s="57">
        <v>0</v>
      </c>
      <c r="AR56" s="57">
        <v>0</v>
      </c>
      <c r="AS56" s="57">
        <v>0</v>
      </c>
      <c r="AT56" s="57" t="s">
        <v>144</v>
      </c>
      <c r="AU56" s="57">
        <v>-3.37775392</v>
      </c>
      <c r="AV56" s="57">
        <v>1.9641400000001141E-3</v>
      </c>
      <c r="AW56" s="57">
        <v>-2.3849499999999999E-2</v>
      </c>
      <c r="AX56" s="57">
        <v>0</v>
      </c>
      <c r="AY56" s="57">
        <v>0</v>
      </c>
      <c r="AZ56" s="57">
        <v>0</v>
      </c>
      <c r="BA56" s="57">
        <v>0</v>
      </c>
      <c r="BB56" s="57">
        <v>-4.3639509999999999E-2</v>
      </c>
      <c r="BC56" s="166">
        <v>0</v>
      </c>
      <c r="BD56" s="57">
        <v>0</v>
      </c>
    </row>
    <row r="57" spans="1:56">
      <c r="A57" s="51">
        <v>16</v>
      </c>
      <c r="B57" s="5" t="s">
        <v>197</v>
      </c>
      <c r="C57" s="38">
        <f t="shared" si="32"/>
        <v>-2.2375630099999984</v>
      </c>
      <c r="D57" s="38">
        <f t="shared" si="33"/>
        <v>-2.8848308099999986</v>
      </c>
      <c r="E57" s="30">
        <f t="shared" si="39"/>
        <v>0.28927355212222627</v>
      </c>
      <c r="G57" s="51">
        <f t="shared" si="23"/>
        <v>16</v>
      </c>
      <c r="H57" s="5" t="s">
        <v>197</v>
      </c>
      <c r="I57" s="7"/>
      <c r="J57" s="7"/>
      <c r="K57" s="7"/>
      <c r="L57" s="7"/>
      <c r="M57" s="7"/>
      <c r="N57" s="7"/>
      <c r="O57" s="7"/>
      <c r="P57" s="7"/>
      <c r="Q57" s="38">
        <v>-4.2737711100000002</v>
      </c>
      <c r="R57" s="38">
        <v>-2.1460987999999999</v>
      </c>
      <c r="S57" s="38">
        <v>-2.3569668500000001</v>
      </c>
      <c r="T57" s="38">
        <v>-1.2902286600000001</v>
      </c>
      <c r="U57" s="38">
        <v>-2.6477147300000001</v>
      </c>
      <c r="V57" s="38">
        <v>-2.5262587800000005</v>
      </c>
      <c r="W57" s="38">
        <v>-1.5997320500000001</v>
      </c>
      <c r="X57" s="38">
        <v>-2.7779490399999998</v>
      </c>
      <c r="Y57" s="38">
        <v>-4.6605187800000003</v>
      </c>
      <c r="Z57" s="38">
        <v>-3.2297163100000006</v>
      </c>
      <c r="AA57" s="38">
        <v>-3.5027381900000001</v>
      </c>
      <c r="AB57" s="38">
        <v>-3.4928045399999998</v>
      </c>
      <c r="AC57" s="38">
        <v>-3.11262324</v>
      </c>
      <c r="AD57" s="38">
        <v>-3.3023120000000001</v>
      </c>
      <c r="AE57" s="38">
        <v>-2.7310162099999999</v>
      </c>
      <c r="AF57" s="38">
        <v>-3.3519103599999998</v>
      </c>
      <c r="AG57" s="38">
        <v>-1.9484860099999997</v>
      </c>
      <c r="AH57" s="38">
        <v>-2.5346745500000001</v>
      </c>
      <c r="AI57" s="38">
        <v>-2.2440068999999996</v>
      </c>
      <c r="AJ57" s="38">
        <v>-3.8985312099999998</v>
      </c>
      <c r="AK57" s="38">
        <v>-1.5</v>
      </c>
      <c r="AL57" s="38">
        <v>-2.4122676799999958</v>
      </c>
      <c r="AM57" s="38">
        <v>-2.1665876800000046</v>
      </c>
      <c r="AN57" s="38">
        <v>-2.0635969600000101</v>
      </c>
      <c r="AO57" s="38">
        <v>-2.0878985400000003</v>
      </c>
      <c r="AP57" s="38">
        <v>-2.1050076999999972</v>
      </c>
      <c r="AQ57" s="38">
        <v>-2.5099999999999998</v>
      </c>
      <c r="AR57" s="38">
        <v>-5.12</v>
      </c>
      <c r="AS57" s="38">
        <v>-2.9778242999999995</v>
      </c>
      <c r="AT57" s="38">
        <v>-4.1260350499999969</v>
      </c>
      <c r="AU57" s="38">
        <v>-8.3074228000000137</v>
      </c>
      <c r="AV57" s="38">
        <v>-3.155987789999994</v>
      </c>
      <c r="AW57" s="38">
        <v>-2.8484386099999992</v>
      </c>
      <c r="AX57" s="38">
        <v>-2.568123420000004</v>
      </c>
      <c r="AY57" s="38">
        <v>-1.9875213199999906</v>
      </c>
      <c r="AZ57" s="38">
        <v>-2.2375630099999984</v>
      </c>
      <c r="BA57" s="38">
        <v>-2.6283248300000004</v>
      </c>
      <c r="BB57" s="38">
        <v>-3.4357085099999978</v>
      </c>
      <c r="BC57" s="167">
        <v>-2.1761001400000026</v>
      </c>
      <c r="BD57" s="38">
        <v>-2.8848308099999986</v>
      </c>
    </row>
    <row r="58" spans="1:56" ht="4.5" customHeight="1">
      <c r="A58" s="51">
        <v>17</v>
      </c>
      <c r="C58" s="28"/>
      <c r="D58" s="28"/>
      <c r="E58" s="28"/>
      <c r="G58" s="51">
        <f t="shared" si="23"/>
        <v>17</v>
      </c>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168"/>
      <c r="BD58" s="28"/>
    </row>
    <row r="59" spans="1:56">
      <c r="A59" s="51">
        <v>18</v>
      </c>
      <c r="B59" s="85" t="s">
        <v>198</v>
      </c>
      <c r="C59" s="86">
        <f>HLOOKUP($C$42,$H$42:$BD$67,$G59,FALSE)</f>
        <v>28.41678191999997</v>
      </c>
      <c r="D59" s="86">
        <f>HLOOKUP($D$42,$H$42:$BD$67,$G59,FALSE)</f>
        <v>26.283509989999992</v>
      </c>
      <c r="E59" s="90">
        <f>D59/C59-1</f>
        <v>-7.5070848486842978E-2</v>
      </c>
      <c r="G59" s="51">
        <f t="shared" si="23"/>
        <v>18</v>
      </c>
      <c r="H59" s="85" t="s">
        <v>198</v>
      </c>
      <c r="I59" s="91"/>
      <c r="J59" s="91"/>
      <c r="K59" s="91"/>
      <c r="L59" s="91"/>
      <c r="M59" s="91"/>
      <c r="N59" s="91"/>
      <c r="O59" s="91"/>
      <c r="P59" s="91"/>
      <c r="Q59" s="86">
        <f t="shared" ref="Q59:X59" si="40">Q52+Q45</f>
        <v>23.277616519999995</v>
      </c>
      <c r="R59" s="86">
        <f t="shared" si="40"/>
        <v>13.167386780000001</v>
      </c>
      <c r="S59" s="86">
        <f t="shared" si="40"/>
        <v>18.323242480000005</v>
      </c>
      <c r="T59" s="86">
        <f t="shared" si="40"/>
        <v>17.617175820000007</v>
      </c>
      <c r="U59" s="86">
        <f t="shared" si="40"/>
        <v>13.282360160000003</v>
      </c>
      <c r="V59" s="86">
        <f t="shared" si="40"/>
        <v>12.998172359999998</v>
      </c>
      <c r="W59" s="86">
        <f t="shared" si="40"/>
        <v>15.832544459999994</v>
      </c>
      <c r="X59" s="86">
        <f t="shared" si="40"/>
        <v>9.330038100000003</v>
      </c>
      <c r="Y59" s="86">
        <f t="shared" ref="Y59:AE59" si="41">Y52+Y45</f>
        <v>11.899931729999992</v>
      </c>
      <c r="Z59" s="86">
        <f t="shared" si="41"/>
        <v>14.477391430000004</v>
      </c>
      <c r="AA59" s="86">
        <f t="shared" si="41"/>
        <v>9.8756328899999986</v>
      </c>
      <c r="AB59" s="86">
        <f t="shared" si="41"/>
        <v>9.6033398699999992</v>
      </c>
      <c r="AC59" s="86">
        <f t="shared" si="41"/>
        <v>18.467392519999997</v>
      </c>
      <c r="AD59" s="86">
        <f t="shared" si="41"/>
        <v>20.729749330000001</v>
      </c>
      <c r="AE59" s="86">
        <f t="shared" si="41"/>
        <v>17.927874249999995</v>
      </c>
      <c r="AF59" s="86">
        <f t="shared" ref="AF59:AQ59" si="42">AF52+AF45</f>
        <v>21.937408249999997</v>
      </c>
      <c r="AG59" s="86">
        <f t="shared" si="42"/>
        <v>22.633413700000006</v>
      </c>
      <c r="AH59" s="86">
        <f t="shared" si="42"/>
        <v>14.967796610000001</v>
      </c>
      <c r="AI59" s="86">
        <f t="shared" si="42"/>
        <v>18.704558840000001</v>
      </c>
      <c r="AJ59" s="86">
        <f t="shared" si="42"/>
        <v>18.536157810000006</v>
      </c>
      <c r="AK59" s="86">
        <f t="shared" si="42"/>
        <v>20.526024529999994</v>
      </c>
      <c r="AL59" s="86">
        <f t="shared" si="42"/>
        <v>17.786418930000007</v>
      </c>
      <c r="AM59" s="86">
        <f t="shared" si="42"/>
        <v>23.169360609999998</v>
      </c>
      <c r="AN59" s="86">
        <f t="shared" si="42"/>
        <v>21.870470129999973</v>
      </c>
      <c r="AO59" s="86">
        <f t="shared" si="42"/>
        <v>29.414631719999992</v>
      </c>
      <c r="AP59" s="86">
        <f t="shared" ref="AP59:AS59" si="43">AP52+AP45</f>
        <v>25.138693729999996</v>
      </c>
      <c r="AQ59" s="86">
        <f t="shared" si="42"/>
        <v>28.58</v>
      </c>
      <c r="AR59" s="86">
        <f t="shared" si="43"/>
        <v>39.107071750000046</v>
      </c>
      <c r="AS59" s="86">
        <f t="shared" si="43"/>
        <v>29.606268990000011</v>
      </c>
      <c r="AT59" s="86">
        <v>4.3409265100000027</v>
      </c>
      <c r="AU59" s="86">
        <v>53.90371310999997</v>
      </c>
      <c r="AV59" s="86">
        <v>29.056446869999988</v>
      </c>
      <c r="AW59" s="86">
        <f t="shared" ref="AW59:BD59" si="44">AW45+AW52</f>
        <v>22.348569359999995</v>
      </c>
      <c r="AX59" s="86">
        <f t="shared" si="44"/>
        <v>24.877518530000007</v>
      </c>
      <c r="AY59" s="86">
        <f t="shared" si="44"/>
        <v>27.689644110000032</v>
      </c>
      <c r="AZ59" s="86">
        <f t="shared" si="44"/>
        <v>28.41678191999997</v>
      </c>
      <c r="BA59" s="86">
        <f t="shared" si="44"/>
        <v>26.996839420000011</v>
      </c>
      <c r="BB59" s="86">
        <f t="shared" si="44"/>
        <v>25.321654949999996</v>
      </c>
      <c r="BC59" s="164">
        <f t="shared" si="44"/>
        <v>27.674790489999992</v>
      </c>
      <c r="BD59" s="86">
        <f t="shared" si="44"/>
        <v>26.283509989999992</v>
      </c>
    </row>
    <row r="60" spans="1:56" ht="4.5" customHeight="1">
      <c r="A60" s="51">
        <v>19</v>
      </c>
      <c r="C60" s="28"/>
      <c r="D60" s="28"/>
      <c r="E60" s="28"/>
      <c r="G60" s="51">
        <f t="shared" si="23"/>
        <v>19</v>
      </c>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168"/>
      <c r="BD60" s="28"/>
    </row>
    <row r="61" spans="1:56">
      <c r="A61" s="51">
        <v>20</v>
      </c>
      <c r="B61" s="5" t="s">
        <v>173</v>
      </c>
      <c r="C61" s="38">
        <f>HLOOKUP($C$42,$H$42:$BD$67,$G61,FALSE)</f>
        <v>-2.575699799999998</v>
      </c>
      <c r="D61" s="38">
        <f>HLOOKUP($D$42,$H$42:$BD$67,$G61,FALSE)</f>
        <v>-2.9278171299999989</v>
      </c>
      <c r="E61" s="30">
        <f>D61/C61-1</f>
        <v>0.13670744160480242</v>
      </c>
      <c r="F61" s="46"/>
      <c r="G61" s="51">
        <f t="shared" si="23"/>
        <v>20</v>
      </c>
      <c r="H61" s="5" t="s">
        <v>173</v>
      </c>
      <c r="I61" s="7"/>
      <c r="J61" s="7"/>
      <c r="K61" s="7"/>
      <c r="L61" s="7"/>
      <c r="M61" s="7"/>
      <c r="N61" s="7"/>
      <c r="O61" s="7"/>
      <c r="P61" s="7"/>
      <c r="Q61" s="38">
        <v>-1.9020556099999997</v>
      </c>
      <c r="R61" s="38">
        <v>-0.95662959000000014</v>
      </c>
      <c r="S61" s="38">
        <v>-1.38904001</v>
      </c>
      <c r="T61" s="38">
        <v>-1.64653396</v>
      </c>
      <c r="U61" s="38">
        <v>-1.35093598</v>
      </c>
      <c r="V61" s="38">
        <v>-1.4034176600000001</v>
      </c>
      <c r="W61" s="38">
        <v>-1.39107256</v>
      </c>
      <c r="X61" s="38">
        <v>-1.7022323799999999</v>
      </c>
      <c r="Y61" s="38">
        <v>-1.4411471600000001</v>
      </c>
      <c r="Z61" s="38">
        <v>-1.51758236</v>
      </c>
      <c r="AA61" s="38">
        <v>-1.6644289400000001</v>
      </c>
      <c r="AB61" s="38">
        <v>-1.50439375</v>
      </c>
      <c r="AC61" s="38">
        <v>-1.4640062700000001</v>
      </c>
      <c r="AD61" s="38">
        <v>-1.6127271700000001</v>
      </c>
      <c r="AE61" s="38">
        <v>-1.1963248800000001</v>
      </c>
      <c r="AF61" s="38">
        <v>-1.91541703</v>
      </c>
      <c r="AG61" s="38">
        <v>-1.6</v>
      </c>
      <c r="AH61" s="38">
        <v>-1.5261225700000001</v>
      </c>
      <c r="AI61" s="38">
        <v>-1.5336618200000003</v>
      </c>
      <c r="AJ61" s="38">
        <v>-1.5264548799999997</v>
      </c>
      <c r="AK61" s="38">
        <v>-1.84047212</v>
      </c>
      <c r="AL61" s="38">
        <v>-1.4989665900000009</v>
      </c>
      <c r="AM61" s="38">
        <v>-1.5633669299999993</v>
      </c>
      <c r="AN61" s="38">
        <v>-1.4798497800000001</v>
      </c>
      <c r="AO61" s="38">
        <v>-2.6075955300000002</v>
      </c>
      <c r="AP61" s="38">
        <v>-1.6545121499999995</v>
      </c>
      <c r="AQ61" s="38">
        <v>-1.8</v>
      </c>
      <c r="AR61" s="38">
        <v>-2.7767341100000014</v>
      </c>
      <c r="AS61" s="38">
        <v>-2.5182996399999995</v>
      </c>
      <c r="AT61" s="38">
        <v>-2.2287493600000001</v>
      </c>
      <c r="AU61" s="38">
        <v>-2.718582650000001</v>
      </c>
      <c r="AV61" s="38">
        <v>-2.3906201699999965</v>
      </c>
      <c r="AW61" s="38">
        <v>-2.4611371000000002</v>
      </c>
      <c r="AX61" s="38">
        <v>-2.1599882999999984</v>
      </c>
      <c r="AY61" s="38">
        <v>-2.6320165400000031</v>
      </c>
      <c r="AZ61" s="38">
        <v>-2.575699799999998</v>
      </c>
      <c r="BA61" s="38">
        <v>-2.8313117299999999</v>
      </c>
      <c r="BB61" s="38">
        <v>-2.7706507500000011</v>
      </c>
      <c r="BC61" s="167">
        <v>-2.757860640000001</v>
      </c>
      <c r="BD61" s="38">
        <v>-2.9278171299999989</v>
      </c>
    </row>
    <row r="62" spans="1:56">
      <c r="A62" s="51">
        <v>21</v>
      </c>
      <c r="B62" s="5" t="s">
        <v>199</v>
      </c>
      <c r="C62" s="38">
        <f>HLOOKUP($C$42,$H$42:$BD$67,$G62,FALSE)</f>
        <v>-2.5105792600000036</v>
      </c>
      <c r="D62" s="38">
        <f>HLOOKUP($D$42,$H$42:$BD$67,$G62,FALSE)</f>
        <v>-2.2804993900000028</v>
      </c>
      <c r="E62" s="42">
        <f>D62/C62-1</f>
        <v>-9.1644137138295556E-2</v>
      </c>
      <c r="G62" s="51">
        <f t="shared" si="23"/>
        <v>21</v>
      </c>
      <c r="H62" s="5" t="s">
        <v>199</v>
      </c>
      <c r="I62" s="7"/>
      <c r="J62" s="7"/>
      <c r="K62" s="7"/>
      <c r="L62" s="7"/>
      <c r="M62" s="7"/>
      <c r="N62" s="7"/>
      <c r="O62" s="7"/>
      <c r="P62" s="7"/>
      <c r="Q62" s="38">
        <v>-4.6529306799999999</v>
      </c>
      <c r="R62" s="38">
        <v>-3.0893527200000004</v>
      </c>
      <c r="S62" s="38">
        <v>-0.84189764999999994</v>
      </c>
      <c r="T62" s="38">
        <v>-1.86806512</v>
      </c>
      <c r="U62" s="38">
        <v>-0.51768802999999997</v>
      </c>
      <c r="V62" s="38">
        <v>-0.68306328000000005</v>
      </c>
      <c r="W62" s="38">
        <v>-0.97182712999999998</v>
      </c>
      <c r="X62" s="38">
        <v>10.162852590000002</v>
      </c>
      <c r="Y62" s="38">
        <v>-0.53674665999999993</v>
      </c>
      <c r="Z62" s="38">
        <v>-0.63847730999999985</v>
      </c>
      <c r="AA62" s="38">
        <v>-0.85316294999999986</v>
      </c>
      <c r="AB62" s="38">
        <v>-1.3746567500000002</v>
      </c>
      <c r="AC62" s="38">
        <v>-0.52620058000000003</v>
      </c>
      <c r="AD62" s="38">
        <v>-0.64479643999999992</v>
      </c>
      <c r="AE62" s="38">
        <v>-0.74230715999999985</v>
      </c>
      <c r="AF62" s="38">
        <v>-1.0305582499999997</v>
      </c>
      <c r="AG62" s="38">
        <v>-1.45151399</v>
      </c>
      <c r="AH62" s="38">
        <v>8.5035019999999961E-2</v>
      </c>
      <c r="AI62" s="38">
        <v>-1.51453455</v>
      </c>
      <c r="AJ62" s="38">
        <v>-0.73680754000000004</v>
      </c>
      <c r="AK62" s="38">
        <v>-1.7515005400000001</v>
      </c>
      <c r="AL62" s="38">
        <v>-1.8322824900000034</v>
      </c>
      <c r="AM62" s="38">
        <v>-1.743260389999995</v>
      </c>
      <c r="AN62" s="38">
        <v>-2.1114044399999914</v>
      </c>
      <c r="AO62" s="38">
        <v>-1.90847655</v>
      </c>
      <c r="AP62" s="38">
        <v>-1.7346318800000025</v>
      </c>
      <c r="AQ62" s="38">
        <v>-2.04</v>
      </c>
      <c r="AR62" s="38">
        <v>-2.58</v>
      </c>
      <c r="AS62" s="38">
        <v>-2.0820181900000003</v>
      </c>
      <c r="AT62" s="38">
        <v>-1.9247170300000018</v>
      </c>
      <c r="AU62" s="38">
        <v>-2.3285413199999887</v>
      </c>
      <c r="AV62" s="38">
        <v>-2.5828295200000024</v>
      </c>
      <c r="AW62" s="38">
        <v>-2.3261712200000009</v>
      </c>
      <c r="AX62" s="38">
        <v>-1.9914702799999979</v>
      </c>
      <c r="AY62" s="38">
        <v>-2.5253187500000074</v>
      </c>
      <c r="AZ62" s="38">
        <v>-2.5105792600000036</v>
      </c>
      <c r="BA62" s="38">
        <v>-2.3027097900000002</v>
      </c>
      <c r="BB62" s="38">
        <v>-1.9975954399999991</v>
      </c>
      <c r="BC62" s="167">
        <v>-1.9724889799999996</v>
      </c>
      <c r="BD62" s="38">
        <v>-2.2804993900000028</v>
      </c>
    </row>
    <row r="63" spans="1:56">
      <c r="A63" s="51">
        <v>22</v>
      </c>
      <c r="B63" s="5" t="s">
        <v>175</v>
      </c>
      <c r="C63" s="38">
        <f>HLOOKUP($C$42,$H$42:$BD$67,$G63,FALSE)</f>
        <v>-8.982303190000005</v>
      </c>
      <c r="D63" s="38">
        <f>HLOOKUP($D$42,$H$42:$BD$67,$G63,FALSE)</f>
        <v>-9.7336398899999921</v>
      </c>
      <c r="E63" s="30">
        <f t="shared" ref="E63" si="45">D63/C63-1</f>
        <v>8.3646330357279641E-2</v>
      </c>
      <c r="G63" s="51">
        <f t="shared" si="23"/>
        <v>22</v>
      </c>
      <c r="H63" s="5" t="s">
        <v>175</v>
      </c>
      <c r="I63" s="7"/>
      <c r="J63" s="7"/>
      <c r="K63" s="7"/>
      <c r="L63" s="7"/>
      <c r="M63" s="7"/>
      <c r="N63" s="7"/>
      <c r="O63" s="7"/>
      <c r="P63" s="7"/>
      <c r="Q63" s="38">
        <v>-7.9848667500000001</v>
      </c>
      <c r="R63" s="38">
        <v>-7.9488865200000003</v>
      </c>
      <c r="S63" s="38">
        <v>-7.9521240000000013</v>
      </c>
      <c r="T63" s="38">
        <v>-8.0023987100000014</v>
      </c>
      <c r="U63" s="38">
        <v>-8.0354829599999995</v>
      </c>
      <c r="V63" s="38">
        <v>-8.0330798399999992</v>
      </c>
      <c r="W63" s="38">
        <v>-7.8220839199999972</v>
      </c>
      <c r="X63" s="38">
        <v>-8.3412998900000002</v>
      </c>
      <c r="Y63" s="38">
        <v>-8.1506856200000009</v>
      </c>
      <c r="Z63" s="38">
        <v>-8.2453212299999983</v>
      </c>
      <c r="AA63" s="38">
        <v>-8.2788340199999997</v>
      </c>
      <c r="AB63" s="38">
        <v>-8.5874377700000011</v>
      </c>
      <c r="AC63" s="38">
        <v>-10.861591690000001</v>
      </c>
      <c r="AD63" s="38">
        <v>-11.416930089999997</v>
      </c>
      <c r="AE63" s="38">
        <v>-11.762001100000001</v>
      </c>
      <c r="AF63" s="38">
        <v>-11.893788960000002</v>
      </c>
      <c r="AG63" s="38">
        <v>-11.2</v>
      </c>
      <c r="AH63" s="38">
        <v>-11.47850051</v>
      </c>
      <c r="AI63" s="38">
        <v>-12.182965490000001</v>
      </c>
      <c r="AJ63" s="38">
        <v>-11.69162096</v>
      </c>
      <c r="AK63" s="38">
        <v>-8.9479389499999993</v>
      </c>
      <c r="AL63" s="38">
        <v>-8.7846704900000017</v>
      </c>
      <c r="AM63" s="38">
        <v>-8.78027041</v>
      </c>
      <c r="AN63" s="38">
        <v>-8.9347689600000049</v>
      </c>
      <c r="AO63" s="38">
        <v>-8.8220456100000018</v>
      </c>
      <c r="AP63" s="38">
        <v>-8.8828295999999956</v>
      </c>
      <c r="AQ63" s="38">
        <v>-8.8800000000000008</v>
      </c>
      <c r="AR63" s="38">
        <v>-9.1460913999999978</v>
      </c>
      <c r="AS63" s="38">
        <v>-8.9631001000000001</v>
      </c>
      <c r="AT63" s="38">
        <v>-8.5275508599999998</v>
      </c>
      <c r="AU63" s="38">
        <v>-8.2351071599999965</v>
      </c>
      <c r="AV63" s="38">
        <v>-9.9244432700000136</v>
      </c>
      <c r="AW63" s="38">
        <v>-8.8326947100000002</v>
      </c>
      <c r="AX63" s="38">
        <v>-9.0313938599999961</v>
      </c>
      <c r="AY63" s="38">
        <v>-8.9105429500000053</v>
      </c>
      <c r="AZ63" s="38">
        <v>-8.982303190000005</v>
      </c>
      <c r="BA63" s="38">
        <v>-8.9248723699999992</v>
      </c>
      <c r="BB63" s="38">
        <v>-8.871892299999999</v>
      </c>
      <c r="BC63" s="167">
        <v>-9.0090007100000058</v>
      </c>
      <c r="BD63" s="38">
        <v>-9.7336398899999921</v>
      </c>
    </row>
    <row r="64" spans="1:56" ht="4.5" customHeight="1">
      <c r="A64" s="51">
        <v>23</v>
      </c>
      <c r="C64" s="28"/>
      <c r="D64" s="28"/>
      <c r="E64" s="28"/>
      <c r="G64" s="51">
        <f t="shared" si="23"/>
        <v>23</v>
      </c>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168"/>
      <c r="BD64" s="28"/>
    </row>
    <row r="65" spans="1:57">
      <c r="A65" s="51">
        <v>24</v>
      </c>
      <c r="B65" s="85" t="s">
        <v>200</v>
      </c>
      <c r="C65" s="86">
        <f>HLOOKUP($C$42,$H$42:$BD$67,$G65,FALSE)</f>
        <v>14.348199669999962</v>
      </c>
      <c r="D65" s="86">
        <f>HLOOKUP($D$42,$H$42:$BD$67,$G65,FALSE)</f>
        <v>11.341553579999999</v>
      </c>
      <c r="E65" s="90">
        <f>D65/C65-1</f>
        <v>-0.20954866527864335</v>
      </c>
      <c r="G65" s="51">
        <f t="shared" si="23"/>
        <v>24</v>
      </c>
      <c r="H65" s="85" t="s">
        <v>200</v>
      </c>
      <c r="I65" s="91"/>
      <c r="J65" s="91"/>
      <c r="K65" s="91"/>
      <c r="L65" s="91"/>
      <c r="M65" s="91"/>
      <c r="N65" s="91"/>
      <c r="O65" s="91"/>
      <c r="P65" s="91"/>
      <c r="Q65" s="86">
        <f t="shared" ref="Q65:BB65" si="46">Q59+Q61+Q62+Q63</f>
        <v>8.7377634799999964</v>
      </c>
      <c r="R65" s="86">
        <f t="shared" si="46"/>
        <v>1.1725179499999996</v>
      </c>
      <c r="S65" s="86">
        <f t="shared" si="46"/>
        <v>8.1401808200000048</v>
      </c>
      <c r="T65" s="86">
        <f t="shared" si="46"/>
        <v>6.1001780300000057</v>
      </c>
      <c r="U65" s="86">
        <f t="shared" si="46"/>
        <v>3.3782531900000041</v>
      </c>
      <c r="V65" s="86">
        <f t="shared" si="46"/>
        <v>2.8786115799999976</v>
      </c>
      <c r="W65" s="86">
        <f t="shared" si="46"/>
        <v>5.6475608499999979</v>
      </c>
      <c r="X65" s="86">
        <f t="shared" si="46"/>
        <v>9.4493584200000047</v>
      </c>
      <c r="Y65" s="86">
        <f t="shared" si="46"/>
        <v>1.7713522899999905</v>
      </c>
      <c r="Z65" s="86">
        <f t="shared" si="46"/>
        <v>4.0760105300000049</v>
      </c>
      <c r="AA65" s="86">
        <f t="shared" si="46"/>
        <v>-0.92079302000000141</v>
      </c>
      <c r="AB65" s="86">
        <f t="shared" si="46"/>
        <v>-1.8631484000000018</v>
      </c>
      <c r="AC65" s="86">
        <f t="shared" si="46"/>
        <v>5.6155939799999963</v>
      </c>
      <c r="AD65" s="86">
        <f t="shared" si="46"/>
        <v>7.0552956300000034</v>
      </c>
      <c r="AE65" s="86">
        <f t="shared" si="46"/>
        <v>4.227241109999996</v>
      </c>
      <c r="AF65" s="86">
        <f t="shared" si="46"/>
        <v>7.0976440099999962</v>
      </c>
      <c r="AG65" s="86">
        <f t="shared" si="46"/>
        <v>8.3818997100000061</v>
      </c>
      <c r="AH65" s="86">
        <f t="shared" si="46"/>
        <v>2.04820855</v>
      </c>
      <c r="AI65" s="86">
        <f t="shared" si="46"/>
        <v>3.4733969800000004</v>
      </c>
      <c r="AJ65" s="86">
        <f t="shared" si="46"/>
        <v>4.5812744300000059</v>
      </c>
      <c r="AK65" s="86">
        <f t="shared" si="46"/>
        <v>7.9861129199999947</v>
      </c>
      <c r="AL65" s="86">
        <f t="shared" si="46"/>
        <v>5.6704993599999991</v>
      </c>
      <c r="AM65" s="86">
        <f t="shared" si="46"/>
        <v>11.082462880000001</v>
      </c>
      <c r="AN65" s="86">
        <f t="shared" si="46"/>
        <v>9.3444469499999787</v>
      </c>
      <c r="AO65" s="86">
        <f t="shared" si="46"/>
        <v>16.076514029999991</v>
      </c>
      <c r="AP65" s="86">
        <f t="shared" si="46"/>
        <v>12.8667201</v>
      </c>
      <c r="AQ65" s="86">
        <f t="shared" si="46"/>
        <v>15.859999999999998</v>
      </c>
      <c r="AR65" s="86">
        <f t="shared" si="46"/>
        <v>24.604246240000052</v>
      </c>
      <c r="AS65" s="86">
        <f t="shared" si="46"/>
        <v>16.042851060000011</v>
      </c>
      <c r="AT65" s="86">
        <f t="shared" si="46"/>
        <v>-8.3400907399999991</v>
      </c>
      <c r="AU65" s="86">
        <f t="shared" si="46"/>
        <v>40.621481979999984</v>
      </c>
      <c r="AV65" s="86">
        <f t="shared" si="46"/>
        <v>14.158553909999972</v>
      </c>
      <c r="AW65" s="86">
        <f t="shared" si="46"/>
        <v>8.7285663299999978</v>
      </c>
      <c r="AX65" s="86">
        <f t="shared" si="46"/>
        <v>11.694666090000014</v>
      </c>
      <c r="AY65" s="86">
        <f t="shared" si="46"/>
        <v>13.621765870000017</v>
      </c>
      <c r="AZ65" s="86">
        <f t="shared" si="46"/>
        <v>14.348199669999962</v>
      </c>
      <c r="BA65" s="86">
        <f t="shared" si="46"/>
        <v>12.937945530000011</v>
      </c>
      <c r="BB65" s="86">
        <f t="shared" si="46"/>
        <v>11.681516459999997</v>
      </c>
      <c r="BC65" s="164">
        <f>BC59+BC61+BC62+BC63</f>
        <v>13.935440159999988</v>
      </c>
      <c r="BD65" s="86">
        <f>BD59+BD61+BD62+BD63</f>
        <v>11.341553579999999</v>
      </c>
    </row>
    <row r="66" spans="1:57" ht="4.5" customHeight="1">
      <c r="A66" s="51">
        <v>25</v>
      </c>
      <c r="B66" s="92"/>
      <c r="C66" s="93">
        <f>HLOOKUP($C$42,$H$42:$BD$67,$G66,FALSE)</f>
        <v>0</v>
      </c>
      <c r="D66" s="93">
        <f>HLOOKUP($D$42,$H$42:$BD$67,$G66,FALSE)</f>
        <v>0</v>
      </c>
      <c r="E66" s="93"/>
      <c r="G66" s="51">
        <f t="shared" si="23"/>
        <v>25</v>
      </c>
      <c r="H66" s="92"/>
      <c r="I66" s="94"/>
      <c r="J66" s="94"/>
      <c r="K66" s="94"/>
      <c r="L66" s="94"/>
      <c r="M66" s="94"/>
      <c r="N66" s="94"/>
      <c r="O66" s="94"/>
      <c r="P66" s="94"/>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170"/>
      <c r="BD66" s="93"/>
    </row>
    <row r="67" spans="1:57">
      <c r="A67" s="51">
        <v>26</v>
      </c>
      <c r="B67" s="85" t="s">
        <v>177</v>
      </c>
      <c r="C67" s="86">
        <f>HLOOKUP($C$42,$H$42:$BD$67,$G67,FALSE)</f>
        <v>23.330502859999967</v>
      </c>
      <c r="D67" s="86">
        <f>HLOOKUP($D$42,$H$42:$BD$67,$G67,FALSE)</f>
        <v>21.075193469999991</v>
      </c>
      <c r="E67" s="90">
        <f>D67/C67-1</f>
        <v>-9.6667843103660389E-2</v>
      </c>
      <c r="G67" s="51">
        <f t="shared" si="23"/>
        <v>26</v>
      </c>
      <c r="H67" s="85" t="s">
        <v>177</v>
      </c>
      <c r="I67" s="91"/>
      <c r="J67" s="91"/>
      <c r="K67" s="91"/>
      <c r="L67" s="91"/>
      <c r="M67" s="91"/>
      <c r="N67" s="91"/>
      <c r="O67" s="91"/>
      <c r="P67" s="91"/>
      <c r="Q67" s="86">
        <f t="shared" ref="Q67:BB67" si="47">Q65-Q63</f>
        <v>16.722630229999996</v>
      </c>
      <c r="R67" s="86">
        <f t="shared" si="47"/>
        <v>9.1214044699999999</v>
      </c>
      <c r="S67" s="86">
        <f t="shared" si="47"/>
        <v>16.092304820000006</v>
      </c>
      <c r="T67" s="86">
        <f t="shared" si="47"/>
        <v>14.102576740000007</v>
      </c>
      <c r="U67" s="86">
        <f t="shared" si="47"/>
        <v>11.413736150000004</v>
      </c>
      <c r="V67" s="86">
        <f t="shared" si="47"/>
        <v>10.911691419999997</v>
      </c>
      <c r="W67" s="86">
        <f t="shared" si="47"/>
        <v>13.469644769999995</v>
      </c>
      <c r="X67" s="86">
        <f t="shared" si="47"/>
        <v>17.790658310000005</v>
      </c>
      <c r="Y67" s="86">
        <f t="shared" si="47"/>
        <v>9.9220379099999914</v>
      </c>
      <c r="Z67" s="86">
        <f t="shared" si="47"/>
        <v>12.321331760000003</v>
      </c>
      <c r="AA67" s="86">
        <f t="shared" si="47"/>
        <v>7.3580409999999983</v>
      </c>
      <c r="AB67" s="86">
        <f t="shared" si="47"/>
        <v>6.7242893699999993</v>
      </c>
      <c r="AC67" s="86">
        <f t="shared" si="47"/>
        <v>16.477185669999997</v>
      </c>
      <c r="AD67" s="86">
        <f t="shared" si="47"/>
        <v>18.472225720000001</v>
      </c>
      <c r="AE67" s="86">
        <f t="shared" si="47"/>
        <v>15.989242209999997</v>
      </c>
      <c r="AF67" s="86">
        <f t="shared" si="47"/>
        <v>18.991432969999998</v>
      </c>
      <c r="AG67" s="86">
        <f t="shared" si="47"/>
        <v>19.581899710000005</v>
      </c>
      <c r="AH67" s="86">
        <f t="shared" si="47"/>
        <v>13.52670906</v>
      </c>
      <c r="AI67" s="86">
        <f t="shared" si="47"/>
        <v>15.656362470000001</v>
      </c>
      <c r="AJ67" s="86">
        <f t="shared" si="47"/>
        <v>16.272895390000006</v>
      </c>
      <c r="AK67" s="86">
        <f t="shared" si="47"/>
        <v>16.934051869999994</v>
      </c>
      <c r="AL67" s="86">
        <f t="shared" si="47"/>
        <v>14.455169850000001</v>
      </c>
      <c r="AM67" s="86">
        <f t="shared" si="47"/>
        <v>19.862733290000001</v>
      </c>
      <c r="AN67" s="86">
        <f t="shared" si="47"/>
        <v>18.279215909999984</v>
      </c>
      <c r="AO67" s="86">
        <f t="shared" si="47"/>
        <v>24.898559639999995</v>
      </c>
      <c r="AP67" s="86">
        <f t="shared" si="47"/>
        <v>21.749549699999996</v>
      </c>
      <c r="AQ67" s="86">
        <f t="shared" si="47"/>
        <v>24.74</v>
      </c>
      <c r="AR67" s="86">
        <f t="shared" si="47"/>
        <v>33.750337640000048</v>
      </c>
      <c r="AS67" s="86">
        <f t="shared" si="47"/>
        <v>25.005951160000009</v>
      </c>
      <c r="AT67" s="86">
        <f t="shared" si="47"/>
        <v>0.18746012000000079</v>
      </c>
      <c r="AU67" s="86">
        <f t="shared" si="47"/>
        <v>48.856589139999983</v>
      </c>
      <c r="AV67" s="86">
        <f t="shared" si="47"/>
        <v>24.082997179999985</v>
      </c>
      <c r="AW67" s="86">
        <f t="shared" si="47"/>
        <v>17.561261039999998</v>
      </c>
      <c r="AX67" s="86">
        <f t="shared" si="47"/>
        <v>20.72605995000001</v>
      </c>
      <c r="AY67" s="86">
        <f t="shared" si="47"/>
        <v>22.532308820000022</v>
      </c>
      <c r="AZ67" s="86">
        <f t="shared" si="47"/>
        <v>23.330502859999967</v>
      </c>
      <c r="BA67" s="86">
        <f t="shared" si="47"/>
        <v>21.86281790000001</v>
      </c>
      <c r="BB67" s="86">
        <f t="shared" si="47"/>
        <v>20.553408759999996</v>
      </c>
      <c r="BC67" s="164">
        <f>BC65-BC63</f>
        <v>22.944440869999994</v>
      </c>
      <c r="BD67" s="86">
        <f>BD65-BD63</f>
        <v>21.075193469999991</v>
      </c>
      <c r="BE67" s="45"/>
    </row>
    <row r="68" spans="1:57">
      <c r="W68" s="45"/>
      <c r="BC68" s="140"/>
    </row>
    <row r="69" spans="1:57">
      <c r="W69" s="45"/>
      <c r="AJ69" s="45"/>
      <c r="AK69" s="45"/>
      <c r="AL69" s="45"/>
      <c r="AM69" s="45"/>
      <c r="AN69" s="45"/>
      <c r="AO69" s="45"/>
      <c r="BC69" s="185"/>
      <c r="BD69" s="47"/>
    </row>
    <row r="70" spans="1:57" ht="92.25" customHeight="1">
      <c r="B70" s="209" t="s">
        <v>206</v>
      </c>
      <c r="C70" s="209"/>
      <c r="D70" s="209"/>
      <c r="E70" s="209"/>
      <c r="W70" s="45"/>
      <c r="BC70" s="140"/>
    </row>
    <row r="71" spans="1:57">
      <c r="AG71" s="45"/>
      <c r="AH71" s="45"/>
      <c r="AI71" s="45"/>
      <c r="AJ71" s="47"/>
      <c r="AK71" s="45"/>
      <c r="AL71" s="45"/>
      <c r="AM71" s="45"/>
      <c r="AN71" s="45"/>
      <c r="AO71" s="45"/>
      <c r="BC71" s="140"/>
    </row>
    <row r="72" spans="1:57" ht="226.5" customHeight="1">
      <c r="B72" s="209"/>
      <c r="C72" s="209"/>
      <c r="D72" s="209"/>
      <c r="E72" s="209"/>
      <c r="W72" s="45"/>
      <c r="BC72" s="140"/>
    </row>
    <row r="73" spans="1:57">
      <c r="W73" s="46"/>
      <c r="BC73" s="140"/>
    </row>
  </sheetData>
  <mergeCells count="105">
    <mergeCell ref="BD7:BD8"/>
    <mergeCell ref="BD42:BD43"/>
    <mergeCell ref="AS7:AS8"/>
    <mergeCell ref="AS42:AS43"/>
    <mergeCell ref="V7:V8"/>
    <mergeCell ref="Y7:Y8"/>
    <mergeCell ref="BC7:BC8"/>
    <mergeCell ref="BC42:BC43"/>
    <mergeCell ref="BA7:BA8"/>
    <mergeCell ref="BB7:BB8"/>
    <mergeCell ref="BA42:BA43"/>
    <mergeCell ref="BB42:BB43"/>
    <mergeCell ref="AO7:AO8"/>
    <mergeCell ref="AO42:AO43"/>
    <mergeCell ref="AK7:AK8"/>
    <mergeCell ref="AL7:AL8"/>
    <mergeCell ref="AL42:AL43"/>
    <mergeCell ref="AM7:AM8"/>
    <mergeCell ref="AN7:AN8"/>
    <mergeCell ref="AN42:AN43"/>
    <mergeCell ref="AK42:AK43"/>
    <mergeCell ref="AQ7:AQ8"/>
    <mergeCell ref="AQ42:AQ43"/>
    <mergeCell ref="AT7:AT8"/>
    <mergeCell ref="AP42:AP43"/>
    <mergeCell ref="AR7:AR8"/>
    <mergeCell ref="AR42:AR43"/>
    <mergeCell ref="AP7:AP8"/>
    <mergeCell ref="AA7:AA8"/>
    <mergeCell ref="B35:AN37"/>
    <mergeCell ref="AT42:AT43"/>
    <mergeCell ref="AU7:AU8"/>
    <mergeCell ref="AI7:AI8"/>
    <mergeCell ref="AI42:AI43"/>
    <mergeCell ref="AJ7:AJ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P7:P8"/>
    <mergeCell ref="Q7:Q8"/>
    <mergeCell ref="B72:E72"/>
    <mergeCell ref="C42:C43"/>
    <mergeCell ref="D42:D43"/>
    <mergeCell ref="B70:E70"/>
    <mergeCell ref="J42:J43"/>
    <mergeCell ref="I42:I43"/>
    <mergeCell ref="E42:E43"/>
    <mergeCell ref="N42:N43"/>
    <mergeCell ref="O42:O43"/>
    <mergeCell ref="D7:D8"/>
    <mergeCell ref="E7:E8"/>
    <mergeCell ref="I7:I8"/>
    <mergeCell ref="J7:J8"/>
    <mergeCell ref="K7:K8"/>
    <mergeCell ref="L7:L8"/>
    <mergeCell ref="M7:M8"/>
    <mergeCell ref="N7:N8"/>
    <mergeCell ref="O7:O8"/>
    <mergeCell ref="AU42:AU43"/>
    <mergeCell ref="AZ7:AZ8"/>
    <mergeCell ref="AZ42:AZ43"/>
    <mergeCell ref="AY7:AY8"/>
    <mergeCell ref="AY42:AY43"/>
    <mergeCell ref="AX7:AX8"/>
    <mergeCell ref="AX42:AX43"/>
    <mergeCell ref="AW7:AW8"/>
    <mergeCell ref="AW42:AW43"/>
    <mergeCell ref="AV7:AV8"/>
    <mergeCell ref="AV42:AV43"/>
    <mergeCell ref="AF7:AF8"/>
    <mergeCell ref="AM42:AM43"/>
    <mergeCell ref="M42:M43"/>
    <mergeCell ref="K42:K43"/>
    <mergeCell ref="L42:L43"/>
    <mergeCell ref="Q42:Q43"/>
    <mergeCell ref="R42:R43"/>
    <mergeCell ref="V42:V43"/>
    <mergeCell ref="AE42:AE43"/>
    <mergeCell ref="AH42:AH43"/>
    <mergeCell ref="AF42:AF43"/>
    <mergeCell ref="AG7:AG8"/>
    <mergeCell ref="AG42:AG43"/>
    <mergeCell ref="AH7:AH8"/>
    <mergeCell ref="U42:U43"/>
    <mergeCell ref="U7:U8"/>
    <mergeCell ref="W7:W8"/>
    <mergeCell ref="R7:R8"/>
    <mergeCell ref="S7:S8"/>
    <mergeCell ref="T7:T8"/>
    <mergeCell ref="S42:S43"/>
    <mergeCell ref="T42:T43"/>
    <mergeCell ref="AE7:AE8"/>
    <mergeCell ref="P42:P43"/>
  </mergeCells>
  <phoneticPr fontId="14" type="noConversion"/>
  <pageMargins left="0.7" right="0.7" top="0.75" bottom="0.75" header="0.3" footer="0.3"/>
  <pageSetup orientation="portrait" r:id="rId1"/>
  <ignoredErrors>
    <ignoredError sqref="AB10 AB52" formula="1"/>
    <ignoredError sqref="E46 E53 E66 E51 E58 E60: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4:BD49"/>
  <sheetViews>
    <sheetView zoomScale="90" zoomScaleNormal="90" workbookViewId="0">
      <selection activeCell="H49" sqref="H49"/>
    </sheetView>
  </sheetViews>
  <sheetFormatPr defaultColWidth="11.453125" defaultRowHeight="13.5"/>
  <cols>
    <col min="1" max="1" width="2.81640625" style="1" customWidth="1"/>
    <col min="2" max="2" width="58.6328125" style="1" bestFit="1" customWidth="1"/>
    <col min="3" max="4" width="6.6328125" style="1" bestFit="1" customWidth="1"/>
    <col min="5" max="5" width="7.08984375" style="1" bestFit="1" customWidth="1"/>
    <col min="6" max="6" width="11.453125" style="1" customWidth="1"/>
    <col min="7" max="7" width="2.81640625" style="51" bestFit="1" customWidth="1"/>
    <col min="8" max="8" width="58.6328125" style="1" bestFit="1" customWidth="1"/>
    <col min="9" max="9" width="6.08984375" style="1" bestFit="1" customWidth="1"/>
    <col min="10" max="11" width="6.6328125" style="1" bestFit="1" customWidth="1"/>
    <col min="12" max="12" width="7.7265625" style="1" bestFit="1" customWidth="1"/>
    <col min="13" max="14" width="6.6328125" style="1" bestFit="1" customWidth="1"/>
    <col min="15" max="15" width="7.08984375" style="1" bestFit="1" customWidth="1"/>
    <col min="16" max="21" width="6.6328125" style="1" bestFit="1" customWidth="1"/>
    <col min="22" max="22" width="6.08984375" style="1" bestFit="1" customWidth="1"/>
    <col min="23" max="23" width="6.6328125" style="1" bestFit="1" customWidth="1"/>
    <col min="24" max="24" width="7.7265625" style="1" bestFit="1" customWidth="1"/>
    <col min="25" max="35" width="6.6328125" style="1" bestFit="1" customWidth="1"/>
    <col min="36" max="36" width="7.7265625" style="1" bestFit="1" customWidth="1"/>
    <col min="37" max="38" width="6.6328125" style="1" bestFit="1" customWidth="1"/>
    <col min="39" max="39" width="7.08984375" style="1" bestFit="1" customWidth="1"/>
    <col min="40" max="40" width="7.7265625" style="1" bestFit="1" customWidth="1"/>
    <col min="41" max="42" width="6.6328125" style="1" bestFit="1" customWidth="1"/>
    <col min="43" max="47" width="7.08984375" style="1" bestFit="1" customWidth="1"/>
    <col min="48" max="48" width="6.6328125" style="1" bestFit="1" customWidth="1"/>
    <col min="49" max="51" width="6.08984375" style="1" bestFit="1" customWidth="1"/>
    <col min="52" max="56" width="6.6328125" style="1" bestFit="1" customWidth="1"/>
    <col min="57" max="16384" width="11.453125" style="1"/>
  </cols>
  <sheetData>
    <row r="4" spans="1:56"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39"/>
      <c r="BD4" s="139"/>
    </row>
    <row r="5" spans="1:56" ht="8.25" customHeight="1">
      <c r="BC5" s="140"/>
    </row>
    <row r="6" spans="1:56" s="110" customFormat="1">
      <c r="A6" s="111">
        <v>1</v>
      </c>
      <c r="B6" s="3" t="s">
        <v>207</v>
      </c>
      <c r="C6" s="208" t="s">
        <v>95</v>
      </c>
      <c r="D6" s="208" t="s">
        <v>263</v>
      </c>
      <c r="E6" s="208" t="s">
        <v>96</v>
      </c>
      <c r="G6" s="111">
        <v>1</v>
      </c>
      <c r="H6" s="3" t="s">
        <v>207</v>
      </c>
      <c r="I6" s="208" t="s">
        <v>97</v>
      </c>
      <c r="J6" s="208" t="s">
        <v>98</v>
      </c>
      <c r="K6" s="208" t="s">
        <v>99</v>
      </c>
      <c r="L6" s="208" t="s">
        <v>100</v>
      </c>
      <c r="M6" s="208" t="s">
        <v>101</v>
      </c>
      <c r="N6" s="208" t="s">
        <v>102</v>
      </c>
      <c r="O6" s="208" t="s">
        <v>103</v>
      </c>
      <c r="P6" s="208" t="s">
        <v>104</v>
      </c>
      <c r="Q6" s="208" t="s">
        <v>105</v>
      </c>
      <c r="R6" s="208" t="s">
        <v>106</v>
      </c>
      <c r="S6" s="208" t="s">
        <v>107</v>
      </c>
      <c r="T6" s="208" t="s">
        <v>108</v>
      </c>
      <c r="U6" s="208" t="s">
        <v>109</v>
      </c>
      <c r="V6" s="208" t="s">
        <v>110</v>
      </c>
      <c r="W6" s="208" t="s">
        <v>111</v>
      </c>
      <c r="X6" s="208" t="s">
        <v>112</v>
      </c>
      <c r="Y6" s="208" t="s">
        <v>113</v>
      </c>
      <c r="Z6" s="208" t="s">
        <v>114</v>
      </c>
      <c r="AA6" s="208" t="s">
        <v>115</v>
      </c>
      <c r="AB6" s="208" t="s">
        <v>116</v>
      </c>
      <c r="AC6" s="208" t="s">
        <v>117</v>
      </c>
      <c r="AD6" s="208" t="s">
        <v>118</v>
      </c>
      <c r="AE6" s="208" t="s">
        <v>119</v>
      </c>
      <c r="AF6" s="208" t="s">
        <v>120</v>
      </c>
      <c r="AG6" s="208" t="s">
        <v>121</v>
      </c>
      <c r="AH6" s="208" t="s">
        <v>122</v>
      </c>
      <c r="AI6" s="208" t="s">
        <v>123</v>
      </c>
      <c r="AJ6" s="208" t="s">
        <v>124</v>
      </c>
      <c r="AK6" s="208" t="s">
        <v>125</v>
      </c>
      <c r="AL6" s="208" t="s">
        <v>126</v>
      </c>
      <c r="AM6" s="208" t="s">
        <v>127</v>
      </c>
      <c r="AN6" s="208" t="s">
        <v>128</v>
      </c>
      <c r="AO6" s="208" t="s">
        <v>129</v>
      </c>
      <c r="AP6" s="208" t="s">
        <v>130</v>
      </c>
      <c r="AQ6" s="208" t="s">
        <v>131</v>
      </c>
      <c r="AR6" s="208" t="s">
        <v>132</v>
      </c>
      <c r="AS6" s="208" t="s">
        <v>133</v>
      </c>
      <c r="AT6" s="208" t="s">
        <v>134</v>
      </c>
      <c r="AU6" s="208" t="s">
        <v>135</v>
      </c>
      <c r="AV6" s="208" t="s">
        <v>94</v>
      </c>
      <c r="AW6" s="208" t="s">
        <v>136</v>
      </c>
      <c r="AX6" s="208" t="s">
        <v>137</v>
      </c>
      <c r="AY6" s="208" t="s">
        <v>138</v>
      </c>
      <c r="AZ6" s="208" t="s">
        <v>95</v>
      </c>
      <c r="BA6" s="208" t="s">
        <v>231</v>
      </c>
      <c r="BB6" s="208" t="s">
        <v>232</v>
      </c>
      <c r="BC6" s="211" t="s">
        <v>252</v>
      </c>
      <c r="BD6" s="208" t="s">
        <v>263</v>
      </c>
    </row>
    <row r="7" spans="1:56" s="110" customFormat="1">
      <c r="A7" s="111">
        <v>2</v>
      </c>
      <c r="B7" s="3" t="s">
        <v>161</v>
      </c>
      <c r="C7" s="208"/>
      <c r="D7" s="208"/>
      <c r="E7" s="208"/>
      <c r="G7" s="111">
        <f>G6+1</f>
        <v>2</v>
      </c>
      <c r="H7" s="3" t="s">
        <v>161</v>
      </c>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11"/>
      <c r="BD7" s="211"/>
    </row>
    <row r="8" spans="1:56" ht="5.25" customHeight="1">
      <c r="A8" s="51">
        <v>3</v>
      </c>
      <c r="G8" s="51">
        <f t="shared" ref="G8:G23" si="0">G7+1</f>
        <v>3</v>
      </c>
      <c r="BC8" s="140"/>
    </row>
    <row r="9" spans="1:56">
      <c r="A9" s="51">
        <v>4</v>
      </c>
      <c r="B9" s="5" t="s">
        <v>178</v>
      </c>
      <c r="C9" s="8">
        <f>HLOOKUP($C$6,$H$6:$BD$23,$G9,FALSE)</f>
        <v>8.6048953099999963</v>
      </c>
      <c r="D9" s="8">
        <f>HLOOKUP($D$6,$H$6:$BD$23,$G9,FALSE)</f>
        <v>9.9756277699999991</v>
      </c>
      <c r="E9" s="42">
        <f t="shared" ref="E9:E10" si="1">+D9/C9-1</f>
        <v>0.15929682007949997</v>
      </c>
      <c r="G9" s="51">
        <f t="shared" si="0"/>
        <v>4</v>
      </c>
      <c r="H9" s="5" t="s">
        <v>178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f>16.45-AT33</f>
        <v>15.99527191</v>
      </c>
      <c r="AU9" s="8">
        <f>17.6275960348242-AU33</f>
        <v>17.140367324824201</v>
      </c>
      <c r="AV9" s="8">
        <v>18.220798819999985</v>
      </c>
      <c r="AW9" s="8">
        <v>14.920460329999997</v>
      </c>
      <c r="AX9" s="8">
        <v>13.613482100000002</v>
      </c>
      <c r="AY9" s="8">
        <v>11.888624609999997</v>
      </c>
      <c r="AZ9" s="8">
        <v>8.6048953099999963</v>
      </c>
      <c r="BA9" s="8">
        <v>8.4426712300000002</v>
      </c>
      <c r="BB9" s="8">
        <v>9.3513967899999972</v>
      </c>
      <c r="BC9" s="171">
        <v>9.3425723100000067</v>
      </c>
      <c r="BD9" s="171">
        <v>9.9756277699999991</v>
      </c>
    </row>
    <row r="10" spans="1:56">
      <c r="A10" s="51">
        <v>5</v>
      </c>
      <c r="B10" s="5" t="s">
        <v>179</v>
      </c>
      <c r="C10" s="8">
        <f>HLOOKUP($C$6,$H$6:$BD$23,$G10,FALSE)</f>
        <v>-12.211139840318911</v>
      </c>
      <c r="D10" s="8">
        <f>HLOOKUP($D$6,$H$6:$BD$23,$G10,FALSE)</f>
        <v>-24.72954447</v>
      </c>
      <c r="E10" s="42">
        <f t="shared" si="1"/>
        <v>1.0251626624033614</v>
      </c>
      <c r="G10" s="51">
        <f t="shared" si="0"/>
        <v>5</v>
      </c>
      <c r="H10" s="5" t="s">
        <v>179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f>-22.06-AT34</f>
        <v>-16.417526949999999</v>
      </c>
      <c r="AU10" s="8">
        <f>-21.0050914995364-AU34</f>
        <v>-15.010323759536405</v>
      </c>
      <c r="AV10" s="8">
        <v>-13.926444329354201</v>
      </c>
      <c r="AW10" s="8">
        <v>-13.045145169894102</v>
      </c>
      <c r="AX10" s="8">
        <v>-12.480874646494982</v>
      </c>
      <c r="AY10" s="8">
        <v>-11.848220065156251</v>
      </c>
      <c r="AZ10" s="8">
        <v>-12.211139840318911</v>
      </c>
      <c r="BA10" s="8">
        <v>-13.450218298142191</v>
      </c>
      <c r="BB10" s="8">
        <v>-14.576933121278715</v>
      </c>
      <c r="BC10" s="171">
        <v>-22.328783520199146</v>
      </c>
      <c r="BD10" s="171">
        <v>-24.72954447</v>
      </c>
    </row>
    <row r="11" spans="1:56">
      <c r="A11" s="51">
        <v>6</v>
      </c>
      <c r="B11" s="5" t="s">
        <v>180</v>
      </c>
      <c r="C11" s="8">
        <f>HLOOKUP($C$6,$H$6:$BD$23,$G11,FALSE)</f>
        <v>-4.4566198584808987</v>
      </c>
      <c r="D11" s="8">
        <f>HLOOKUP($D$6,$H$6:$BD$23,$G11,FALSE)</f>
        <v>0.98148429000000004</v>
      </c>
      <c r="E11" s="42" t="s">
        <v>144</v>
      </c>
      <c r="G11" s="51">
        <f t="shared" si="0"/>
        <v>6</v>
      </c>
      <c r="H11" s="5" t="s">
        <v>180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f>-3.11-AT35</f>
        <v>-4.6972115600000004</v>
      </c>
      <c r="AU11" s="8">
        <f>-3.99090034306757-AU35</f>
        <v>-1.9739785330675694</v>
      </c>
      <c r="AV11" s="8">
        <v>-0.8281157996298063</v>
      </c>
      <c r="AW11" s="8">
        <v>0.6194717667019316</v>
      </c>
      <c r="AX11" s="8">
        <v>0.3381039628903304</v>
      </c>
      <c r="AY11" s="8">
        <v>2.2631584542165908</v>
      </c>
      <c r="AZ11" s="8">
        <v>-4.4566198584808987</v>
      </c>
      <c r="BA11" s="8">
        <v>2.2737694156458099</v>
      </c>
      <c r="BB11" s="8">
        <v>-0.6039382005569025</v>
      </c>
      <c r="BC11" s="171">
        <v>0.61388696528469122</v>
      </c>
      <c r="BD11" s="171">
        <v>0.98148429000000004</v>
      </c>
    </row>
    <row r="12" spans="1:56">
      <c r="A12" s="51">
        <v>7</v>
      </c>
      <c r="B12" s="5" t="s">
        <v>181</v>
      </c>
      <c r="C12" s="8">
        <f>HLOOKUP($C$6,$H$6:$BD$23,$G12,FALSE)</f>
        <v>2.8018337499999997</v>
      </c>
      <c r="D12" s="8">
        <f>HLOOKUP($D$6,$H$6:$BD$23,$G12,FALSE)</f>
        <v>2.7710760699999994</v>
      </c>
      <c r="E12" s="42">
        <f>+D12/C12-1</f>
        <v>-1.0977696303358542E-2</v>
      </c>
      <c r="G12" s="51">
        <f t="shared" si="0"/>
        <v>7</v>
      </c>
      <c r="H12" s="5" t="s">
        <v>181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f>3.37</f>
        <v>3.37</v>
      </c>
      <c r="AU12" s="8">
        <f>2.82167445</f>
        <v>2.8216744500000002</v>
      </c>
      <c r="AV12" s="8">
        <v>2.9199357299999988</v>
      </c>
      <c r="AW12" s="8">
        <v>3.0067959500000003</v>
      </c>
      <c r="AX12" s="8">
        <v>3.3325563399999996</v>
      </c>
      <c r="AY12" s="8">
        <v>3.1898200699999983</v>
      </c>
      <c r="AZ12" s="8">
        <v>2.8018337499999997</v>
      </c>
      <c r="BA12" s="8">
        <v>3.2693498999999999</v>
      </c>
      <c r="BB12" s="8">
        <v>3.3040840899999999</v>
      </c>
      <c r="BC12" s="171">
        <v>3.05397988</v>
      </c>
      <c r="BD12" s="171">
        <v>2.7710760699999994</v>
      </c>
    </row>
    <row r="13" spans="1:56">
      <c r="A13" s="51">
        <v>8</v>
      </c>
      <c r="B13" s="5" t="s">
        <v>182</v>
      </c>
      <c r="C13" s="8">
        <f>HLOOKUP($C$6,$H$6:$BD$23,$G13,FALSE)</f>
        <v>-32.978155262148981</v>
      </c>
      <c r="D13" s="8">
        <f>HLOOKUP($D$6,$H$6:$BD$23,$G13,FALSE)</f>
        <v>-36.061752176875011</v>
      </c>
      <c r="E13" s="42">
        <f>+D13/C13-1</f>
        <v>9.3504226971278248E-2</v>
      </c>
      <c r="G13" s="51">
        <f t="shared" si="0"/>
        <v>8</v>
      </c>
      <c r="H13" s="5" t="s">
        <v>182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f>94-AT36</f>
        <v>95.909862180000005</v>
      </c>
      <c r="AU13" s="8">
        <f>4.08176518794018-AU36</f>
        <v>6.4755275779401789</v>
      </c>
      <c r="AV13" s="8">
        <v>-27.041849934107219</v>
      </c>
      <c r="AW13" s="8">
        <v>-14.248385925640481</v>
      </c>
      <c r="AX13" s="8">
        <v>-9.5827358726939984</v>
      </c>
      <c r="AY13" s="8">
        <v>-7.9972370222958276</v>
      </c>
      <c r="AZ13" s="8">
        <v>-32.978155262148981</v>
      </c>
      <c r="BA13" s="8">
        <v>-11.221822016048462</v>
      </c>
      <c r="BB13" s="8">
        <v>-15.63106203612706</v>
      </c>
      <c r="BC13" s="171">
        <v>-18.007083348070438</v>
      </c>
      <c r="BD13" s="171">
        <v>-36.061752176875011</v>
      </c>
    </row>
    <row r="14" spans="1:56" ht="5.25" customHeight="1">
      <c r="A14" s="51">
        <v>9</v>
      </c>
      <c r="E14" s="33"/>
      <c r="G14" s="51">
        <f t="shared" si="0"/>
        <v>9</v>
      </c>
      <c r="BC14" s="140"/>
      <c r="BD14" s="140"/>
    </row>
    <row r="15" spans="1:56">
      <c r="A15" s="51">
        <v>10</v>
      </c>
      <c r="B15" s="6" t="s">
        <v>183</v>
      </c>
      <c r="C15" s="9">
        <f>HLOOKUP($C$6,$H$6:$BD$23,$G15,FALSE)</f>
        <v>-38.239185900948797</v>
      </c>
      <c r="D15" s="9">
        <f>HLOOKUP($D$6,$H$6:$BD$23,$G15,FALSE)</f>
        <v>-47.063108516875012</v>
      </c>
      <c r="E15" s="60">
        <f t="shared" ref="E15" si="2">+D15/C15-1</f>
        <v>0.23075602704468867</v>
      </c>
      <c r="G15" s="51">
        <f t="shared" si="0"/>
        <v>10</v>
      </c>
      <c r="H15" s="6" t="s">
        <v>183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 t="shared" ref="AI15:BB15" si="4">SUM(AI9:AI13)</f>
        <v>-18.343538010000007</v>
      </c>
      <c r="AJ15" s="9">
        <f t="shared" si="4"/>
        <v>-20.672808236935449</v>
      </c>
      <c r="AK15" s="9">
        <f t="shared" si="4"/>
        <v>-36.077653113024901</v>
      </c>
      <c r="AL15" s="9">
        <f t="shared" si="4"/>
        <v>-33.462068015730701</v>
      </c>
      <c r="AM15" s="9">
        <f t="shared" si="4"/>
        <v>799.09281796000573</v>
      </c>
      <c r="AN15" s="9">
        <f t="shared" si="4"/>
        <v>-176.04105226939856</v>
      </c>
      <c r="AO15" s="9">
        <f t="shared" si="4"/>
        <v>-23.90028385635889</v>
      </c>
      <c r="AP15" s="9">
        <f t="shared" ref="AP15" si="5">SUM(AP9:AP13)</f>
        <v>-31.275214555974479</v>
      </c>
      <c r="AQ15" s="9">
        <f t="shared" si="4"/>
        <v>-26.169999999999995</v>
      </c>
      <c r="AR15" s="9">
        <f>SUM(AR9:AR13)</f>
        <v>-15.508240835945463</v>
      </c>
      <c r="AS15" s="9">
        <f t="shared" si="4"/>
        <v>-12.089963466177705</v>
      </c>
      <c r="AT15" s="9">
        <f t="shared" si="4"/>
        <v>94.160395579999999</v>
      </c>
      <c r="AU15" s="9">
        <f t="shared" si="4"/>
        <v>9.453267060160405</v>
      </c>
      <c r="AV15" s="9">
        <f t="shared" si="4"/>
        <v>-20.655675513091243</v>
      </c>
      <c r="AW15" s="9">
        <f t="shared" si="4"/>
        <v>-8.7468030488326534</v>
      </c>
      <c r="AX15" s="9">
        <f t="shared" si="4"/>
        <v>-4.7794681162986485</v>
      </c>
      <c r="AY15" s="9">
        <f t="shared" si="4"/>
        <v>-2.5038539532354926</v>
      </c>
      <c r="AZ15" s="9">
        <f t="shared" si="4"/>
        <v>-38.239185900948797</v>
      </c>
      <c r="BA15" s="9">
        <f t="shared" si="4"/>
        <v>-10.686249768544844</v>
      </c>
      <c r="BB15" s="9">
        <f t="shared" si="4"/>
        <v>-18.156452477962681</v>
      </c>
      <c r="BC15" s="161">
        <f>SUM(BC9:BC13)</f>
        <v>-27.325427712984887</v>
      </c>
      <c r="BD15" s="161">
        <f>SUM(BD9:BD13)</f>
        <v>-47.063108516875012</v>
      </c>
    </row>
    <row r="16" spans="1:56" ht="5.25" customHeight="1">
      <c r="A16" s="51">
        <v>11</v>
      </c>
      <c r="E16" s="33"/>
      <c r="G16" s="51">
        <f t="shared" si="0"/>
        <v>11</v>
      </c>
      <c r="BC16" s="140"/>
      <c r="BD16" s="140"/>
    </row>
    <row r="17" spans="1:56">
      <c r="A17" s="51">
        <v>12</v>
      </c>
      <c r="B17" s="6" t="s">
        <v>184</v>
      </c>
      <c r="C17" s="9">
        <f>HLOOKUP($C$6,$H$6:$BD$23,$G17,FALSE)</f>
        <v>61.567968446898135</v>
      </c>
      <c r="D17" s="9">
        <f>HLOOKUP($D$6,$H$6:$BD$23,$G17,FALSE)</f>
        <v>34.599004919999913</v>
      </c>
      <c r="E17" s="60">
        <f t="shared" ref="E17:E23" si="6">+D17/C17-1</f>
        <v>-0.43803562480965619</v>
      </c>
      <c r="G17" s="51">
        <f t="shared" si="0"/>
        <v>12</v>
      </c>
      <c r="H17" s="6" t="s">
        <v>184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93.898995459999995</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f>173.11-AT40</f>
        <v>186.96048632000003</v>
      </c>
      <c r="AU17" s="9">
        <f>175.811279357242-AU40</f>
        <v>145.10802060724203</v>
      </c>
      <c r="AV17" s="9">
        <v>70.814463995710923</v>
      </c>
      <c r="AW17" s="9">
        <v>78.795802483019429</v>
      </c>
      <c r="AX17" s="9">
        <v>84.276083173457749</v>
      </c>
      <c r="AY17" s="9">
        <v>99.260223972873206</v>
      </c>
      <c r="AZ17" s="9">
        <v>61.567968446898135</v>
      </c>
      <c r="BA17" s="9">
        <v>97.897836564343422</v>
      </c>
      <c r="BB17" s="9">
        <v>52.910935740635907</v>
      </c>
      <c r="BC17" s="161">
        <v>19.853373883307711</v>
      </c>
      <c r="BD17" s="161">
        <v>34.599004919999913</v>
      </c>
    </row>
    <row r="18" spans="1:56" ht="5.25" customHeight="1">
      <c r="A18" s="51">
        <v>13</v>
      </c>
      <c r="G18" s="51">
        <f t="shared" si="0"/>
        <v>13</v>
      </c>
      <c r="BC18" s="140"/>
      <c r="BD18" s="140"/>
    </row>
    <row r="19" spans="1:56">
      <c r="A19" s="51">
        <v>14</v>
      </c>
      <c r="B19" s="5" t="s">
        <v>185</v>
      </c>
      <c r="C19" s="8">
        <f>HLOOKUP($C$6,$H$6:$BD$23,$G19,FALSE)</f>
        <v>-9.77150102011041</v>
      </c>
      <c r="D19" s="8">
        <f>HLOOKUP($D$6,$H$6:$BD$23,$G19,FALSE)</f>
        <v>-9.2595189899999966</v>
      </c>
      <c r="E19" s="42">
        <f t="shared" si="6"/>
        <v>-5.2395433317432016E-2</v>
      </c>
      <c r="G19" s="51">
        <f t="shared" si="0"/>
        <v>14</v>
      </c>
      <c r="H19" s="5" t="s">
        <v>185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f>-41.9-AT42</f>
        <v>-49.237787169999997</v>
      </c>
      <c r="AU19" s="8">
        <v>-36.887290267886129</v>
      </c>
      <c r="AV19" s="8">
        <v>-20.21331412082408</v>
      </c>
      <c r="AW19" s="8">
        <v>-20.483441256209641</v>
      </c>
      <c r="AX19" s="8">
        <v>-22.106215980229553</v>
      </c>
      <c r="AY19" s="8">
        <v>-25.721151226954841</v>
      </c>
      <c r="AZ19" s="8">
        <v>-9.77150102011041</v>
      </c>
      <c r="BA19" s="8">
        <v>-24.126407533044876</v>
      </c>
      <c r="BB19" s="8">
        <v>-14.398395034357364</v>
      </c>
      <c r="BC19" s="171">
        <v>-3.9996672636140005</v>
      </c>
      <c r="BD19" s="171">
        <v>-9.2595189899999966</v>
      </c>
    </row>
    <row r="20" spans="1:56" ht="5.25" customHeight="1">
      <c r="A20" s="51">
        <v>15</v>
      </c>
      <c r="E20" s="70"/>
      <c r="G20" s="51">
        <f t="shared" si="0"/>
        <v>15</v>
      </c>
      <c r="BC20" s="140"/>
      <c r="BD20" s="140"/>
    </row>
    <row r="21" spans="1:56">
      <c r="A21" s="51">
        <v>16</v>
      </c>
      <c r="B21" s="3" t="s">
        <v>186</v>
      </c>
      <c r="C21" s="16">
        <f>HLOOKUP($C$6,$H$6:$BD$23,$G21,FALSE)</f>
        <v>51.796467426787729</v>
      </c>
      <c r="D21" s="16">
        <f>HLOOKUP($D$6,$H$6:$BD$23,$G21,FALSE)</f>
        <v>25.33948592999991</v>
      </c>
      <c r="E21" s="43">
        <f t="shared" si="6"/>
        <v>-0.51078737240495642</v>
      </c>
      <c r="G21" s="51">
        <f t="shared" si="0"/>
        <v>16</v>
      </c>
      <c r="H21" s="3" t="s">
        <v>186</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7">+V17+V19</f>
        <v>79.445128930000024</v>
      </c>
      <c r="W21" s="16">
        <f t="shared" si="7"/>
        <v>70.00171270999995</v>
      </c>
      <c r="X21" s="16">
        <f t="shared" si="7"/>
        <v>73.361478960000056</v>
      </c>
      <c r="Y21" s="16">
        <f t="shared" si="7"/>
        <v>65.876825310000044</v>
      </c>
      <c r="Z21" s="16">
        <f t="shared" si="7"/>
        <v>48.131741559999966</v>
      </c>
      <c r="AA21" s="16">
        <f t="shared" si="7"/>
        <v>59.815981430000029</v>
      </c>
      <c r="AB21" s="16">
        <f t="shared" si="7"/>
        <v>62.732093019999994</v>
      </c>
      <c r="AC21" s="16">
        <f>+AC17+AC19</f>
        <v>61.372555550000001</v>
      </c>
      <c r="AD21" s="16">
        <f t="shared" ref="AD21:AG21" si="8">+AD17+AD19</f>
        <v>61.205108160000037</v>
      </c>
      <c r="AE21" s="16">
        <f t="shared" si="8"/>
        <v>63.603551690000003</v>
      </c>
      <c r="AF21" s="16">
        <f t="shared" si="8"/>
        <v>16.889084191313714</v>
      </c>
      <c r="AG21" s="16">
        <f t="shared" si="8"/>
        <v>47.022925539999996</v>
      </c>
      <c r="AH21" s="16">
        <f>+AH17+AH19</f>
        <v>58.716749100000001</v>
      </c>
      <c r="AI21" s="16">
        <f>62.20715213-AI46</f>
        <v>64.605734240000004</v>
      </c>
      <c r="AJ21" s="16">
        <f t="shared" ref="AJ21" si="9">+AJ17+AJ19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f>131.21-AT44</f>
        <v>137.72269915000001</v>
      </c>
      <c r="AU21" s="16">
        <v>108.24676475161203</v>
      </c>
      <c r="AV21" s="16">
        <v>50.601149874886858</v>
      </c>
      <c r="AW21" s="16">
        <v>58.312361226809784</v>
      </c>
      <c r="AX21" s="16">
        <v>62.1698671932282</v>
      </c>
      <c r="AY21" s="16">
        <v>73.539072745918347</v>
      </c>
      <c r="AZ21" s="16">
        <v>51.796467426787729</v>
      </c>
      <c r="BA21" s="16">
        <v>73.771429031298538</v>
      </c>
      <c r="BB21" s="16">
        <v>38.512540706278543</v>
      </c>
      <c r="BC21" s="163">
        <v>15.8537066196937</v>
      </c>
      <c r="BD21" s="163">
        <v>25.33948592999991</v>
      </c>
    </row>
    <row r="22" spans="1:56" ht="5.25" customHeight="1">
      <c r="A22" s="51">
        <v>17</v>
      </c>
      <c r="E22" s="78"/>
      <c r="G22" s="51">
        <f t="shared" si="0"/>
        <v>17</v>
      </c>
      <c r="BC22" s="140"/>
      <c r="BD22" s="140"/>
    </row>
    <row r="23" spans="1:56">
      <c r="A23" s="51">
        <v>18</v>
      </c>
      <c r="B23" s="5" t="s">
        <v>187</v>
      </c>
      <c r="C23" s="8">
        <f>HLOOKUP($C$6,$H$6:$BD$23,$G23,FALSE)</f>
        <v>51.619963160900021</v>
      </c>
      <c r="D23" s="8">
        <f>HLOOKUP($D$6,$H$6:$BD$23,$G23,FALSE)</f>
        <v>25.33948592999991</v>
      </c>
      <c r="E23" s="42">
        <f t="shared" si="6"/>
        <v>-0.50911460647469975</v>
      </c>
      <c r="G23" s="51">
        <f t="shared" si="0"/>
        <v>18</v>
      </c>
      <c r="H23" s="5" t="s">
        <v>187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0">+AO21-AO46</f>
        <v>30.710184041958499</v>
      </c>
      <c r="AP23" s="8">
        <f t="shared" si="10"/>
        <v>41.130482450000009</v>
      </c>
      <c r="AQ23" s="8">
        <f t="shared" si="10"/>
        <v>80.400000000000006</v>
      </c>
      <c r="AR23" s="8">
        <f t="shared" si="10"/>
        <v>113.68041595723406</v>
      </c>
      <c r="AS23" s="8">
        <f>87.9011691382947-AS46</f>
        <v>82.961184882994701</v>
      </c>
      <c r="AT23" s="8">
        <f>133.936079752048-AT46</f>
        <v>137.778572250548</v>
      </c>
      <c r="AU23" s="8">
        <f>117.717456127863-AU46</f>
        <v>108.17294215906301</v>
      </c>
      <c r="AV23" s="8">
        <f>53.932438174887-AV46</f>
        <v>50.605842419786974</v>
      </c>
      <c r="AW23" s="8">
        <f>58.6363040968098-AW46</f>
        <v>58.3314517812098</v>
      </c>
      <c r="AX23" s="8">
        <v>62.1698671932282</v>
      </c>
      <c r="AY23" s="8">
        <v>73.539072745918304</v>
      </c>
      <c r="AZ23" s="8">
        <f>53-AZ46</f>
        <v>51.619963160900021</v>
      </c>
      <c r="BA23" s="8">
        <v>73.771429031298538</v>
      </c>
      <c r="BB23" s="8">
        <v>38.5125407062785</v>
      </c>
      <c r="BC23" s="171">
        <v>15.853706619693725</v>
      </c>
      <c r="BD23" s="171">
        <v>25.33948592999991</v>
      </c>
    </row>
    <row r="24" spans="1:56">
      <c r="A24" s="51"/>
      <c r="AG24" s="41"/>
      <c r="BC24" s="140"/>
    </row>
    <row r="25" spans="1:56">
      <c r="A25" s="51"/>
      <c r="AQ25" s="41"/>
      <c r="AR25" s="41"/>
      <c r="AS25" s="41"/>
      <c r="AT25" s="41"/>
      <c r="AU25" s="41"/>
      <c r="AV25" s="41"/>
      <c r="AW25" s="41"/>
      <c r="AX25" s="41"/>
      <c r="AY25" s="41"/>
      <c r="AZ25" s="41"/>
      <c r="BA25" s="41"/>
      <c r="BB25" s="41"/>
      <c r="BC25" s="162"/>
    </row>
    <row r="26" spans="1:56">
      <c r="A26" s="51"/>
      <c r="U26" s="28"/>
      <c r="V26" s="28"/>
      <c r="W26" s="28"/>
      <c r="X26" s="28"/>
      <c r="Y26" s="28"/>
      <c r="Z26" s="28"/>
      <c r="AA26" s="28"/>
      <c r="AB26" s="28"/>
      <c r="AC26" s="28"/>
      <c r="AD26" s="28"/>
      <c r="AE26" s="28"/>
      <c r="AF26" s="28"/>
      <c r="AG26" s="28"/>
      <c r="AH26" s="28"/>
      <c r="AI26" s="28"/>
      <c r="AJ26" s="28"/>
      <c r="AK26" s="28"/>
      <c r="AL26" s="28"/>
      <c r="AM26" s="28"/>
      <c r="AN26" s="28"/>
      <c r="AO26" s="28"/>
      <c r="BC26" s="140"/>
    </row>
    <row r="27" spans="1:56">
      <c r="A27" s="51"/>
      <c r="BC27" s="140"/>
    </row>
    <row r="28" spans="1:56" ht="23.5">
      <c r="A28" s="51"/>
      <c r="B28" s="11" t="s">
        <v>28</v>
      </c>
      <c r="C28" s="12"/>
      <c r="D28" s="12"/>
      <c r="E28" s="12"/>
      <c r="H28" s="11" t="s">
        <v>28</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39"/>
      <c r="BD28" s="139"/>
    </row>
    <row r="29" spans="1:56" ht="5.25" customHeight="1">
      <c r="A29" s="51"/>
      <c r="BC29" s="140"/>
    </row>
    <row r="30" spans="1:56" s="110" customFormat="1" ht="15.75" customHeight="1">
      <c r="A30" s="111">
        <v>1</v>
      </c>
      <c r="B30" s="3" t="s">
        <v>207</v>
      </c>
      <c r="C30" s="208" t="str">
        <f>+C6</f>
        <v>4Q24</v>
      </c>
      <c r="D30" s="208" t="str">
        <f>+D6</f>
        <v>4Q25</v>
      </c>
      <c r="E30" s="208" t="s">
        <v>96</v>
      </c>
      <c r="G30" s="111">
        <v>1</v>
      </c>
      <c r="H30" s="3" t="s">
        <v>207</v>
      </c>
      <c r="I30" s="208" t="s">
        <v>97</v>
      </c>
      <c r="J30" s="208" t="s">
        <v>98</v>
      </c>
      <c r="K30" s="208" t="s">
        <v>99</v>
      </c>
      <c r="L30" s="208" t="s">
        <v>100</v>
      </c>
      <c r="M30" s="208" t="s">
        <v>101</v>
      </c>
      <c r="N30" s="208" t="s">
        <v>102</v>
      </c>
      <c r="O30" s="208" t="s">
        <v>103</v>
      </c>
      <c r="P30" s="208" t="s">
        <v>104</v>
      </c>
      <c r="Q30" s="208" t="s">
        <v>105</v>
      </c>
      <c r="R30" s="208" t="s">
        <v>106</v>
      </c>
      <c r="S30" s="208" t="s">
        <v>107</v>
      </c>
      <c r="T30" s="208" t="s">
        <v>108</v>
      </c>
      <c r="U30" s="208" t="s">
        <v>109</v>
      </c>
      <c r="V30" s="208" t="s">
        <v>110</v>
      </c>
      <c r="W30" s="208" t="s">
        <v>111</v>
      </c>
      <c r="X30" s="208" t="s">
        <v>112</v>
      </c>
      <c r="Y30" s="208" t="s">
        <v>113</v>
      </c>
      <c r="Z30" s="208" t="s">
        <v>114</v>
      </c>
      <c r="AA30" s="208" t="s">
        <v>115</v>
      </c>
      <c r="AB30" s="208" t="s">
        <v>116</v>
      </c>
      <c r="AC30" s="208" t="s">
        <v>117</v>
      </c>
      <c r="AD30" s="208" t="s">
        <v>118</v>
      </c>
      <c r="AE30" s="208" t="s">
        <v>119</v>
      </c>
      <c r="AF30" s="208" t="s">
        <v>120</v>
      </c>
      <c r="AG30" s="208" t="s">
        <v>121</v>
      </c>
      <c r="AH30" s="208" t="s">
        <v>122</v>
      </c>
      <c r="AI30" s="208" t="s">
        <v>123</v>
      </c>
      <c r="AJ30" s="208" t="s">
        <v>124</v>
      </c>
      <c r="AK30" s="208" t="s">
        <v>125</v>
      </c>
      <c r="AL30" s="208" t="s">
        <v>126</v>
      </c>
      <c r="AM30" s="208" t="s">
        <v>127</v>
      </c>
      <c r="AN30" s="208" t="s">
        <v>128</v>
      </c>
      <c r="AO30" s="208" t="s">
        <v>129</v>
      </c>
      <c r="AP30" s="208" t="s">
        <v>130</v>
      </c>
      <c r="AQ30" s="208" t="s">
        <v>131</v>
      </c>
      <c r="AR30" s="208" t="s">
        <v>132</v>
      </c>
      <c r="AS30" s="208" t="s">
        <v>133</v>
      </c>
      <c r="AT30" s="208" t="s">
        <v>134</v>
      </c>
      <c r="AU30" s="208" t="s">
        <v>135</v>
      </c>
      <c r="AV30" s="208" t="s">
        <v>94</v>
      </c>
      <c r="AW30" s="208" t="s">
        <v>136</v>
      </c>
      <c r="AX30" s="208" t="s">
        <v>137</v>
      </c>
      <c r="AY30" s="208" t="s">
        <v>138</v>
      </c>
      <c r="AZ30" s="208" t="s">
        <v>95</v>
      </c>
      <c r="BA30" s="208" t="s">
        <v>231</v>
      </c>
      <c r="BB30" s="208" t="s">
        <v>232</v>
      </c>
      <c r="BC30" s="211" t="s">
        <v>252</v>
      </c>
      <c r="BD30" s="208" t="s">
        <v>263</v>
      </c>
    </row>
    <row r="31" spans="1:56" s="110" customFormat="1">
      <c r="A31" s="111">
        <v>2</v>
      </c>
      <c r="B31" s="3" t="s">
        <v>161</v>
      </c>
      <c r="C31" s="208"/>
      <c r="D31" s="208"/>
      <c r="E31" s="208"/>
      <c r="G31" s="111">
        <f>G30+1</f>
        <v>2</v>
      </c>
      <c r="H31" s="3" t="s">
        <v>161</v>
      </c>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11"/>
      <c r="BD31" s="211"/>
    </row>
    <row r="32" spans="1:56" ht="5.25" customHeight="1">
      <c r="A32" s="51">
        <v>3</v>
      </c>
      <c r="G32" s="51">
        <f t="shared" ref="G32:G47" si="11">G31+1</f>
        <v>3</v>
      </c>
      <c r="BC32" s="140"/>
      <c r="BD32" s="140"/>
    </row>
    <row r="33" spans="1:56">
      <c r="A33" s="51">
        <v>4</v>
      </c>
      <c r="B33" s="5" t="s">
        <v>178</v>
      </c>
      <c r="C33" s="8">
        <f>HLOOKUP($C$30,$H$30:$BD$47,$G33,FALSE)</f>
        <v>0.4940407699999998</v>
      </c>
      <c r="D33" s="8">
        <f>HLOOKUP($D$30,$H$30:$BD$47,$G33,FALSE)</f>
        <v>0.39951734999999999</v>
      </c>
      <c r="E33" s="30">
        <f t="shared" ref="E33:E47" si="12">+D33/C33-1</f>
        <v>-0.19132716516493131</v>
      </c>
      <c r="G33" s="51">
        <f t="shared" si="11"/>
        <v>4</v>
      </c>
      <c r="H33" s="5" t="s">
        <v>178</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f>18.48180084-AV9</f>
        <v>0.2610020200000136</v>
      </c>
      <c r="AW33" s="8">
        <v>0.59808905000000001</v>
      </c>
      <c r="AX33" s="8">
        <v>0.50720871000000001</v>
      </c>
      <c r="AY33" s="8">
        <v>0.64067929000000001</v>
      </c>
      <c r="AZ33" s="8">
        <v>0.4940407699999998</v>
      </c>
      <c r="BA33" s="8">
        <v>0.47704652000000003</v>
      </c>
      <c r="BB33" s="8">
        <v>0.51939604999999989</v>
      </c>
      <c r="BC33" s="171">
        <v>0.63842529000000026</v>
      </c>
      <c r="BD33" s="171">
        <v>0.39951734999999999</v>
      </c>
    </row>
    <row r="34" spans="1:56">
      <c r="A34" s="51">
        <v>5</v>
      </c>
      <c r="B34" s="5" t="s">
        <v>179</v>
      </c>
      <c r="C34" s="8">
        <f>HLOOKUP($C$30,$H$30:$BD$47,$G34,FALSE)</f>
        <v>-4.8993885300000004</v>
      </c>
      <c r="D34" s="8">
        <f>HLOOKUP($D$30,$H$30:$BD$47,$G34,FALSE)</f>
        <v>-4.7657949999999998</v>
      </c>
      <c r="E34" s="30">
        <f t="shared" si="12"/>
        <v>-2.7267388406120308E-2</v>
      </c>
      <c r="G34" s="51">
        <f t="shared" si="11"/>
        <v>5</v>
      </c>
      <c r="H34" s="5" t="s">
        <v>179</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f>+-19.2211416493542-AV10</f>
        <v>-5.2946973200000009</v>
      </c>
      <c r="AW34" s="8">
        <v>-5.55788861</v>
      </c>
      <c r="AX34" s="8">
        <v>-5.1221501500000004</v>
      </c>
      <c r="AY34" s="8">
        <v>-5.3912019300000003</v>
      </c>
      <c r="AZ34" s="8">
        <v>-4.8993885300000004</v>
      </c>
      <c r="BA34" s="8">
        <v>-4.9031110399999998</v>
      </c>
      <c r="BB34" s="8">
        <v>-4.5484649999999993</v>
      </c>
      <c r="BC34" s="171">
        <v>-4.7999606500000001</v>
      </c>
      <c r="BD34" s="171">
        <v>-4.7657949999999998</v>
      </c>
    </row>
    <row r="35" spans="1:56" ht="11.15" customHeight="1">
      <c r="A35" s="51">
        <v>6</v>
      </c>
      <c r="B35" s="5" t="s">
        <v>180</v>
      </c>
      <c r="C35" s="8">
        <f>HLOOKUP($C$30,$H$30:$BD$47,$G35,FALSE)</f>
        <v>-0.4365566999999988</v>
      </c>
      <c r="D35" s="8">
        <f>HLOOKUP($D$30,$H$30:$BD$47,$G35,FALSE)</f>
        <v>1.06000786</v>
      </c>
      <c r="E35" s="42" t="s">
        <v>144</v>
      </c>
      <c r="G35" s="51">
        <f t="shared" si="11"/>
        <v>6</v>
      </c>
      <c r="H35" s="5" t="s">
        <v>180</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f>+-0.511666419629807-AV11</f>
        <v>0.31644937999999934</v>
      </c>
      <c r="AW35" s="8">
        <v>-1.6692370000000158E-2</v>
      </c>
      <c r="AX35" s="8">
        <v>-0.76410180999999988</v>
      </c>
      <c r="AY35" s="8">
        <v>1.0085518899999992</v>
      </c>
      <c r="AZ35" s="8">
        <v>-0.4365566999999988</v>
      </c>
      <c r="BA35" s="8">
        <v>0.64844376000000059</v>
      </c>
      <c r="BB35" s="8">
        <v>0.82925749999999998</v>
      </c>
      <c r="BC35" s="171">
        <v>0.72626072000000019</v>
      </c>
      <c r="BD35" s="171">
        <v>1.06000786</v>
      </c>
    </row>
    <row r="36" spans="1:56">
      <c r="A36" s="51">
        <v>7</v>
      </c>
      <c r="B36" s="5" t="s">
        <v>182</v>
      </c>
      <c r="C36" s="8">
        <f>HLOOKUP($C$30,$H$30:$BD$47,$G36,FALSE)</f>
        <v>-2.4285900700000003</v>
      </c>
      <c r="D36" s="8">
        <f>HLOOKUP($D$30,$H$30:$BD$47,$G36,FALSE)</f>
        <v>-4.8522146199999998</v>
      </c>
      <c r="E36" s="42">
        <f t="shared" si="12"/>
        <v>0.99795538981183407</v>
      </c>
      <c r="G36" s="51">
        <f t="shared" si="11"/>
        <v>7</v>
      </c>
      <c r="H36" s="5" t="s">
        <v>182</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f>+-30.1084683641073-AV13</f>
        <v>-3.0666184300000801</v>
      </c>
      <c r="AW36" s="8">
        <v>-2.63031748</v>
      </c>
      <c r="AX36" s="8">
        <v>-1.94600705</v>
      </c>
      <c r="AY36" s="8">
        <v>-1.6148343399999998</v>
      </c>
      <c r="AZ36" s="8">
        <v>-2.4285900700000003</v>
      </c>
      <c r="BA36" s="8">
        <v>-1.4133574999999998</v>
      </c>
      <c r="BB36" s="8">
        <v>-1.24210928</v>
      </c>
      <c r="BC36" s="171">
        <v>-0.80243460999999994</v>
      </c>
      <c r="BD36" s="171">
        <v>-4.8522146199999998</v>
      </c>
    </row>
    <row r="37" spans="1:56" ht="5.15" customHeight="1">
      <c r="A37" s="51">
        <v>8</v>
      </c>
      <c r="E37" s="58"/>
      <c r="G37" s="51">
        <f t="shared" si="11"/>
        <v>8</v>
      </c>
      <c r="S37" s="14"/>
      <c r="BC37" s="140"/>
      <c r="BD37" s="140"/>
    </row>
    <row r="38" spans="1:56">
      <c r="A38" s="51">
        <v>9</v>
      </c>
      <c r="B38" s="6" t="s">
        <v>183</v>
      </c>
      <c r="C38" s="9">
        <f>HLOOKUP($C$30,$H$30:$BD$47,$G38,FALSE)</f>
        <v>-7.2704945299999997</v>
      </c>
      <c r="D38" s="9">
        <f>HLOOKUP($D$30,$H$30:$BD$47,$G38,FALSE)</f>
        <v>-8.1584844099999998</v>
      </c>
      <c r="E38" s="60">
        <f t="shared" si="12"/>
        <v>0.12213610454363422</v>
      </c>
      <c r="G38" s="51">
        <f t="shared" si="11"/>
        <v>9</v>
      </c>
      <c r="H38" s="6" t="s">
        <v>183</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3">+SUM(AD33:AD36)</f>
        <v>-9.3882581300000005</v>
      </c>
      <c r="AE38" s="9">
        <f t="shared" si="13"/>
        <v>-10.223773319999999</v>
      </c>
      <c r="AF38" s="9">
        <f t="shared" si="13"/>
        <v>-6.8874426900000003</v>
      </c>
      <c r="AG38" s="9">
        <f t="shared" si="13"/>
        <v>-9.1497340500000011</v>
      </c>
      <c r="AH38" s="9">
        <f t="shared" si="13"/>
        <v>-9.1990178</v>
      </c>
      <c r="AI38" s="9">
        <f t="shared" si="13"/>
        <v>-6.503122450000002</v>
      </c>
      <c r="AJ38" s="9">
        <f t="shared" si="13"/>
        <v>-186.71408519999997</v>
      </c>
      <c r="AK38" s="9">
        <f t="shared" si="13"/>
        <v>-7.7882508599999998</v>
      </c>
      <c r="AL38" s="9">
        <f t="shared" si="13"/>
        <v>-6.8635648000000016</v>
      </c>
      <c r="AM38" s="9">
        <f t="shared" si="13"/>
        <v>-8.6812930899999969</v>
      </c>
      <c r="AN38" s="9">
        <f>+SUM(AN33:AN36)</f>
        <v>-6.0392674800000012</v>
      </c>
      <c r="AO38" s="9">
        <f>+SUM(AO33:AO36)</f>
        <v>-6.6003506999999999</v>
      </c>
      <c r="AP38" s="9">
        <f>+SUM(AP33:AP36)</f>
        <v>-9.5700758700000002</v>
      </c>
      <c r="AQ38" s="9">
        <f t="shared" ref="AQ38:AR38" si="14">+SUM(AQ33:AQ36)</f>
        <v>-7.96</v>
      </c>
      <c r="AR38" s="9">
        <f t="shared" si="14"/>
        <v>-6.7551499400000079</v>
      </c>
      <c r="AS38" s="9">
        <v>-7.0608010600000011</v>
      </c>
      <c r="AT38" s="9">
        <f>SUM(AT33:AT36)</f>
        <v>-5.5103955800000008</v>
      </c>
      <c r="AU38" s="9">
        <f>SUM(AU33:AU36)</f>
        <v>-9.9182232299999953</v>
      </c>
      <c r="AV38" s="9">
        <f>SUM(AV33:AV36)</f>
        <v>-7.7838643500000684</v>
      </c>
      <c r="AW38" s="9">
        <f t="shared" ref="AW38:BA38" si="15">SUM(AW33:AW36)</f>
        <v>-7.6068094100000003</v>
      </c>
      <c r="AX38" s="9">
        <f t="shared" si="15"/>
        <v>-7.3250503000000009</v>
      </c>
      <c r="AY38" s="9">
        <f t="shared" si="15"/>
        <v>-5.3568050899999999</v>
      </c>
      <c r="AZ38" s="9">
        <f t="shared" si="15"/>
        <v>-7.2704945299999997</v>
      </c>
      <c r="BA38" s="9">
        <f t="shared" si="15"/>
        <v>-5.1909782599999987</v>
      </c>
      <c r="BB38" s="9">
        <f t="shared" ref="BB38" si="16">SUM(BB33:BB36)</f>
        <v>-4.4419207299999997</v>
      </c>
      <c r="BC38" s="161">
        <f>SUM(BC33:BC36)</f>
        <v>-4.23770925</v>
      </c>
      <c r="BD38" s="161">
        <f>SUM(BD33:BD36)</f>
        <v>-8.1584844099999998</v>
      </c>
    </row>
    <row r="39" spans="1:56" ht="5.25" customHeight="1">
      <c r="A39" s="51">
        <v>10</v>
      </c>
      <c r="G39" s="51">
        <f t="shared" si="11"/>
        <v>10</v>
      </c>
      <c r="S39" s="14"/>
      <c r="BC39" s="140"/>
      <c r="BD39" s="140"/>
    </row>
    <row r="40" spans="1:56">
      <c r="A40" s="51">
        <v>11</v>
      </c>
      <c r="B40" s="6" t="s">
        <v>184</v>
      </c>
      <c r="C40" s="9">
        <f>HLOOKUP($C$30,$H$30:$BD$47,$G40,FALSE)</f>
        <v>7.0777051399999653</v>
      </c>
      <c r="D40" s="9">
        <f>HLOOKUP($D$30,$H$30:$BD$47,$G40,FALSE)</f>
        <v>3.1830691699999818</v>
      </c>
      <c r="E40" s="60">
        <f>+D40/C40-1</f>
        <v>-0.55026818622172824</v>
      </c>
      <c r="G40" s="51">
        <f t="shared" si="11"/>
        <v>11</v>
      </c>
      <c r="H40" s="6" t="s">
        <v>184</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6.0415535799999995</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77.306889555711-AV17</f>
        <v>6.492425560000072</v>
      </c>
      <c r="AW40" s="9">
        <v>1.1217569199999975</v>
      </c>
      <c r="AX40" s="9">
        <v>4.369615790000017</v>
      </c>
      <c r="AY40" s="9">
        <v>8.2649607800000098</v>
      </c>
      <c r="AZ40" s="9">
        <v>7.0777051399999653</v>
      </c>
      <c r="BA40" s="9">
        <v>7.7469672700000123</v>
      </c>
      <c r="BB40" s="9">
        <v>7.2395957299999756</v>
      </c>
      <c r="BC40" s="161">
        <v>9.6977309100000078</v>
      </c>
      <c r="BD40" s="161">
        <v>3.1830691699999818</v>
      </c>
    </row>
    <row r="41" spans="1:56" ht="5.25" customHeight="1">
      <c r="A41" s="51">
        <v>12</v>
      </c>
      <c r="E41" s="33"/>
      <c r="G41" s="51">
        <f t="shared" si="11"/>
        <v>12</v>
      </c>
      <c r="S41" s="14"/>
      <c r="BC41" s="140"/>
      <c r="BD41" s="140"/>
    </row>
    <row r="42" spans="1:56">
      <c r="A42" s="51">
        <v>13</v>
      </c>
      <c r="B42" s="5" t="s">
        <v>185</v>
      </c>
      <c r="C42" s="8">
        <f>HLOOKUP($C$30,$H$30:$BD$47,$G42,FALSE)</f>
        <v>-4.7386596500000007</v>
      </c>
      <c r="D42" s="8">
        <f>HLOOKUP($D$30,$H$30:$BD$47,$G42,FALSE)</f>
        <v>2.55219189</v>
      </c>
      <c r="E42" s="42" t="s">
        <v>144</v>
      </c>
      <c r="G42" s="51">
        <f t="shared" si="11"/>
        <v>13</v>
      </c>
      <c r="H42" s="5" t="s">
        <v>185</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f>+-21.0674417908241-AV19</f>
        <v>-0.85412767000001821</v>
      </c>
      <c r="AW42" s="8">
        <v>-0.60505807999999994</v>
      </c>
      <c r="AX42" s="8">
        <v>-5.0694434099999999</v>
      </c>
      <c r="AY42" s="8">
        <v>0.91779000999999916</v>
      </c>
      <c r="AZ42" s="8">
        <v>-4.7386596500000007</v>
      </c>
      <c r="BA42" s="8">
        <v>0.87169969000000014</v>
      </c>
      <c r="BB42" s="8">
        <v>2.4724065799999999</v>
      </c>
      <c r="BC42" s="171">
        <v>-0.28044400000000014</v>
      </c>
      <c r="BD42" s="171">
        <v>2.55219189</v>
      </c>
    </row>
    <row r="43" spans="1:56" ht="5.25" customHeight="1">
      <c r="A43" s="51">
        <v>14</v>
      </c>
      <c r="E43" s="63"/>
      <c r="G43" s="51">
        <f t="shared" si="11"/>
        <v>14</v>
      </c>
      <c r="S43" s="14"/>
      <c r="BC43" s="140"/>
      <c r="BD43" s="140"/>
    </row>
    <row r="44" spans="1:56">
      <c r="A44" s="51">
        <v>15</v>
      </c>
      <c r="B44" s="3" t="s">
        <v>186</v>
      </c>
      <c r="C44" s="16">
        <f>HLOOKUP($C$30,$H$30:$BD$47,$G44,FALSE)</f>
        <v>2.3390454899999629</v>
      </c>
      <c r="D44" s="16">
        <f>HLOOKUP($D$30,$H$30:$BD$47,$G44,FALSE)</f>
        <v>5.73526106</v>
      </c>
      <c r="E44" s="43">
        <f t="shared" si="12"/>
        <v>1.4519664472194984</v>
      </c>
      <c r="G44" s="51">
        <f t="shared" si="11"/>
        <v>15</v>
      </c>
      <c r="H44" s="3" t="s">
        <v>186</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4.6415535800000001</v>
      </c>
      <c r="AC44" s="16">
        <f>+AC40+AC42</f>
        <v>4.1620151400000056</v>
      </c>
      <c r="AD44" s="16">
        <f t="shared" ref="AD44:AG44" si="17">+AD40+AD42</f>
        <v>0.17004293000000326</v>
      </c>
      <c r="AE44" s="16">
        <f t="shared" si="17"/>
        <v>-8.9109858000000024</v>
      </c>
      <c r="AF44" s="16">
        <f t="shared" si="17"/>
        <v>2.5943269099999915</v>
      </c>
      <c r="AG44" s="16">
        <f t="shared" si="17"/>
        <v>-6.5632499299999978</v>
      </c>
      <c r="AH44" s="16">
        <v>-9.0495119099999997</v>
      </c>
      <c r="AI44" s="16">
        <v>-4.8452505800000036</v>
      </c>
      <c r="AJ44" s="16">
        <f t="shared" ref="AJ44:AM44" si="18">+AJ40+AJ42</f>
        <v>-129.17836936999996</v>
      </c>
      <c r="AK44" s="16">
        <f t="shared" si="18"/>
        <v>-4.6870472300000028</v>
      </c>
      <c r="AL44" s="16">
        <f t="shared" si="18"/>
        <v>-4.4542395099999865</v>
      </c>
      <c r="AM44" s="16">
        <f t="shared" si="18"/>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56.2394477648869-AV21</f>
        <v>5.6382978900000396</v>
      </c>
      <c r="AW44" s="16">
        <v>0.51669883999999755</v>
      </c>
      <c r="AX44" s="16">
        <v>-0.699827619999983</v>
      </c>
      <c r="AY44" s="16">
        <v>9.1827507900000089</v>
      </c>
      <c r="AZ44" s="16">
        <v>2.3390454899999629</v>
      </c>
      <c r="BA44" s="16">
        <v>8.618666960000013</v>
      </c>
      <c r="BB44" s="16">
        <v>9.7120023099999742</v>
      </c>
      <c r="BC44" s="163">
        <v>9.4172869100000085</v>
      </c>
      <c r="BD44" s="163">
        <v>5.73526106</v>
      </c>
    </row>
    <row r="45" spans="1:56" ht="5.25" customHeight="1">
      <c r="A45" s="51">
        <v>16</v>
      </c>
      <c r="E45" s="63"/>
      <c r="G45" s="51">
        <f t="shared" si="11"/>
        <v>16</v>
      </c>
      <c r="S45" s="14"/>
      <c r="BC45" s="140"/>
      <c r="BD45" s="140"/>
    </row>
    <row r="46" spans="1:56">
      <c r="A46" s="51">
        <v>17</v>
      </c>
      <c r="B46" s="5" t="s">
        <v>187</v>
      </c>
      <c r="C46" s="8">
        <f>HLOOKUP($C$30,$H$30:$BD$47,$G46,FALSE)</f>
        <v>1.380036839099978</v>
      </c>
      <c r="D46" s="8">
        <f>HLOOKUP($D$30,$H$30:$BD$47,$G46,FALSE)</f>
        <v>5.73526106</v>
      </c>
      <c r="E46" s="42">
        <f t="shared" si="12"/>
        <v>3.1558753342703367</v>
      </c>
      <c r="G46" s="51">
        <f t="shared" si="11"/>
        <v>17</v>
      </c>
      <c r="H46" s="5" t="s">
        <v>187</v>
      </c>
      <c r="I46" s="17"/>
      <c r="J46" s="17"/>
      <c r="K46" s="17"/>
      <c r="L46" s="17"/>
      <c r="M46" s="17"/>
      <c r="N46" s="17"/>
      <c r="O46" s="17"/>
      <c r="P46" s="17"/>
      <c r="Q46" s="8">
        <f>+Q44*0.51</f>
        <v>3.860335737599998</v>
      </c>
      <c r="R46" s="8">
        <f t="shared" ref="R46:T46" si="19">+R44*0.51</f>
        <v>-0.2096214750000005</v>
      </c>
      <c r="S46" s="8">
        <f t="shared" si="19"/>
        <v>-0.75856034730000055</v>
      </c>
      <c r="T46" s="8">
        <f t="shared" si="19"/>
        <v>0.89423306670000302</v>
      </c>
      <c r="U46" s="8">
        <f>+U44-U47</f>
        <v>4.171250910000003</v>
      </c>
      <c r="V46" s="8">
        <f t="shared" ref="V46:AF46" si="20">+V44-V47</f>
        <v>-12.129309620000004</v>
      </c>
      <c r="W46" s="8">
        <f t="shared" si="20"/>
        <v>0.13145553999999782</v>
      </c>
      <c r="X46" s="8">
        <f t="shared" si="20"/>
        <v>3.2719259700000043</v>
      </c>
      <c r="Y46" s="8">
        <f t="shared" si="20"/>
        <v>-0.71925135000000906</v>
      </c>
      <c r="Z46" s="8">
        <f t="shared" si="20"/>
        <v>-1.6347808199999949</v>
      </c>
      <c r="AA46" s="8">
        <f t="shared" si="20"/>
        <v>-2.9987468100000014</v>
      </c>
      <c r="AB46" s="8">
        <f t="shared" si="20"/>
        <v>9.1460252000000004</v>
      </c>
      <c r="AC46" s="8">
        <f t="shared" si="20"/>
        <v>3.0307739099999909</v>
      </c>
      <c r="AD46" s="8">
        <f t="shared" si="20"/>
        <v>0.11151201000000327</v>
      </c>
      <c r="AE46" s="8">
        <f t="shared" si="20"/>
        <v>-4.5163217200000023</v>
      </c>
      <c r="AF46" s="8">
        <f t="shared" si="20"/>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Y46" si="21">+AT44*0.59</f>
        <v>-3.8424924985000031</v>
      </c>
      <c r="AU46" s="8">
        <f t="shared" si="21"/>
        <v>9.5445139687999898</v>
      </c>
      <c r="AV46" s="8">
        <f t="shared" si="21"/>
        <v>3.3265957551000231</v>
      </c>
      <c r="AW46" s="8">
        <f t="shared" si="21"/>
        <v>0.30485231559999854</v>
      </c>
      <c r="AX46" s="8">
        <f t="shared" si="21"/>
        <v>-0.41289829579998993</v>
      </c>
      <c r="AY46" s="8">
        <f t="shared" si="21"/>
        <v>5.4178229661000046</v>
      </c>
      <c r="AZ46" s="8">
        <f>+AZ44*0.59</f>
        <v>1.380036839099978</v>
      </c>
      <c r="BA46" s="8">
        <f t="shared" ref="BA46:BB46" si="22">+BA44*0.59</f>
        <v>5.0850135064000073</v>
      </c>
      <c r="BB46" s="8">
        <f t="shared" si="22"/>
        <v>5.730081362899984</v>
      </c>
      <c r="BC46" s="171">
        <f>+BC44*1</f>
        <v>9.4172869100000085</v>
      </c>
      <c r="BD46" s="171">
        <f>+BD44*1</f>
        <v>5.73526106</v>
      </c>
    </row>
    <row r="47" spans="1:56">
      <c r="A47" s="51">
        <v>18</v>
      </c>
      <c r="B47" s="5" t="s">
        <v>188</v>
      </c>
      <c r="C47" s="8">
        <f>HLOOKUP($C$30,$H$30:$BD$47,$G47,FALSE)</f>
        <v>0.95900865089998488</v>
      </c>
      <c r="D47" s="8">
        <f>HLOOKUP($D$30,$H$30:$BD$47,$G47,FALSE)</f>
        <v>0</v>
      </c>
      <c r="E47" s="42">
        <f t="shared" si="12"/>
        <v>-1</v>
      </c>
      <c r="G47" s="51">
        <f t="shared" si="11"/>
        <v>18</v>
      </c>
      <c r="H47" s="5" t="s">
        <v>188</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V47" si="23">+AT44*0.41</f>
        <v>-2.6702066515000022</v>
      </c>
      <c r="AU47" s="8">
        <f t="shared" si="23"/>
        <v>6.6326283511999931</v>
      </c>
      <c r="AV47" s="8">
        <f t="shared" si="23"/>
        <v>2.311702134900016</v>
      </c>
      <c r="AW47" s="8">
        <f t="shared" ref="AW47:BC47" si="24">AW44-AW46</f>
        <v>0.21184652439999901</v>
      </c>
      <c r="AX47" s="8">
        <f t="shared" si="24"/>
        <v>-0.28692932419999306</v>
      </c>
      <c r="AY47" s="8">
        <f t="shared" si="24"/>
        <v>3.7649278239000044</v>
      </c>
      <c r="AZ47" s="8">
        <f t="shared" si="24"/>
        <v>0.95900865089998488</v>
      </c>
      <c r="BA47" s="8">
        <f t="shared" si="24"/>
        <v>3.5336534536000057</v>
      </c>
      <c r="BB47" s="8">
        <f t="shared" si="24"/>
        <v>3.9819209470999901</v>
      </c>
      <c r="BC47" s="171">
        <f t="shared" si="24"/>
        <v>0</v>
      </c>
      <c r="BD47" s="171">
        <f t="shared" ref="BD47" si="25">BD44-BD46</f>
        <v>0</v>
      </c>
    </row>
    <row r="48" spans="1:56">
      <c r="U48" s="56"/>
      <c r="V48" s="56"/>
      <c r="W48" s="56"/>
      <c r="X48" s="56"/>
      <c r="Y48" s="56"/>
      <c r="Z48" s="56"/>
      <c r="AA48" s="56"/>
      <c r="AB48" s="56"/>
      <c r="AC48" s="56"/>
      <c r="AD48" s="56"/>
      <c r="AE48" s="56"/>
      <c r="AF48" s="56"/>
      <c r="AG48" s="56"/>
      <c r="AH48" s="56"/>
      <c r="AI48" s="56"/>
      <c r="AJ48" s="116"/>
      <c r="AK48" s="116"/>
      <c r="AL48" s="116"/>
      <c r="AM48" s="116"/>
      <c r="AN48" s="116"/>
      <c r="AO48" s="116"/>
      <c r="AP48" s="116"/>
      <c r="AQ48" s="116"/>
      <c r="AR48" s="116"/>
      <c r="AS48" s="116"/>
      <c r="AT48" s="116"/>
      <c r="AU48" s="116"/>
      <c r="AV48" s="116"/>
      <c r="AW48" s="116"/>
      <c r="AX48" s="116"/>
      <c r="AY48" s="116"/>
      <c r="AZ48" s="116"/>
      <c r="BA48" s="116"/>
      <c r="BB48" s="116"/>
      <c r="BC48" s="172"/>
    </row>
    <row r="49" spans="2:55" ht="183" customHeight="1">
      <c r="B49" s="209" t="s">
        <v>208</v>
      </c>
      <c r="C49" s="209"/>
      <c r="D49" s="209"/>
      <c r="E49" s="209"/>
      <c r="BC49" s="140"/>
    </row>
  </sheetData>
  <mergeCells count="103">
    <mergeCell ref="AL30:AL31"/>
    <mergeCell ref="BC6:BC7"/>
    <mergeCell ref="BC30:BC31"/>
    <mergeCell ref="BB6:BB7"/>
    <mergeCell ref="BA30:BA31"/>
    <mergeCell ref="BB30:BB31"/>
    <mergeCell ref="AO6:AO7"/>
    <mergeCell ref="AO30:AO31"/>
    <mergeCell ref="AR30:AR31"/>
    <mergeCell ref="AU6:AU7"/>
    <mergeCell ref="AU30:AU31"/>
    <mergeCell ref="AT6:AT7"/>
    <mergeCell ref="AT30:AT31"/>
    <mergeCell ref="AZ6:AZ7"/>
    <mergeCell ref="AZ30:AZ31"/>
    <mergeCell ref="AP6:AP7"/>
    <mergeCell ref="AY6:AY7"/>
    <mergeCell ref="AY30:AY31"/>
    <mergeCell ref="AS6:AS7"/>
    <mergeCell ref="AD6:AD7"/>
    <mergeCell ref="AD30:AD31"/>
    <mergeCell ref="AF30:AF31"/>
    <mergeCell ref="AJ30:AJ31"/>
    <mergeCell ref="BA6:BA7"/>
    <mergeCell ref="AM30:AM31"/>
    <mergeCell ref="AR6:AR7"/>
    <mergeCell ref="AP30:AP31"/>
    <mergeCell ref="AS30:AS31"/>
    <mergeCell ref="AQ6:AQ7"/>
    <mergeCell ref="AQ30:AQ31"/>
    <mergeCell ref="AX6:AX7"/>
    <mergeCell ref="AX30:AX31"/>
    <mergeCell ref="AW6:AW7"/>
    <mergeCell ref="AW30:AW31"/>
    <mergeCell ref="AV6:AV7"/>
    <mergeCell ref="AV30:AV31"/>
    <mergeCell ref="AK30:AK31"/>
    <mergeCell ref="AM6:AM7"/>
    <mergeCell ref="AJ6:AJ7"/>
    <mergeCell ref="AN6:AN7"/>
    <mergeCell ref="AK6:AK7"/>
    <mergeCell ref="AN30:AN31"/>
    <mergeCell ref="AL6:AL7"/>
    <mergeCell ref="U30:U31"/>
    <mergeCell ref="AC30:AC31"/>
    <mergeCell ref="Y30:Y31"/>
    <mergeCell ref="AA6:AA7"/>
    <mergeCell ref="AA30:AA31"/>
    <mergeCell ref="Z6:Z7"/>
    <mergeCell ref="Y6:Y7"/>
    <mergeCell ref="AB30:AB31"/>
    <mergeCell ref="AB6:AB7"/>
    <mergeCell ref="AC6:AC7"/>
    <mergeCell ref="V6:V7"/>
    <mergeCell ref="Z30:Z31"/>
    <mergeCell ref="R6:R7"/>
    <mergeCell ref="T6:T7"/>
    <mergeCell ref="AI30:AI31"/>
    <mergeCell ref="AH6:AH7"/>
    <mergeCell ref="AH30:AH31"/>
    <mergeCell ref="P30:P31"/>
    <mergeCell ref="Q30:Q31"/>
    <mergeCell ref="R30:R31"/>
    <mergeCell ref="Q6:Q7"/>
    <mergeCell ref="P6:P7"/>
    <mergeCell ref="V30:V31"/>
    <mergeCell ref="W6:W7"/>
    <mergeCell ref="W30:W31"/>
    <mergeCell ref="X6:X7"/>
    <mergeCell ref="S30:S31"/>
    <mergeCell ref="AF6:AF7"/>
    <mergeCell ref="AE6:AE7"/>
    <mergeCell ref="AG6:AG7"/>
    <mergeCell ref="AG30:AG31"/>
    <mergeCell ref="AE30:AE31"/>
    <mergeCell ref="AI6:AI7"/>
    <mergeCell ref="X30:X31"/>
    <mergeCell ref="T30:T31"/>
    <mergeCell ref="U6:U7"/>
    <mergeCell ref="BD6:BD7"/>
    <mergeCell ref="BD30:BD31"/>
    <mergeCell ref="B49:E49"/>
    <mergeCell ref="I30:I31"/>
    <mergeCell ref="C30:C31"/>
    <mergeCell ref="D30:D31"/>
    <mergeCell ref="E30:E31"/>
    <mergeCell ref="S6:S7"/>
    <mergeCell ref="O30:O31"/>
    <mergeCell ref="C6:C7"/>
    <mergeCell ref="D6:D7"/>
    <mergeCell ref="E6:E7"/>
    <mergeCell ref="I6:I7"/>
    <mergeCell ref="J30:J31"/>
    <mergeCell ref="N30:N31"/>
    <mergeCell ref="K30:K31"/>
    <mergeCell ref="L30:L31"/>
    <mergeCell ref="M30:M31"/>
    <mergeCell ref="J6:J7"/>
    <mergeCell ref="K6:K7"/>
    <mergeCell ref="L6:L7"/>
    <mergeCell ref="M6:M7"/>
    <mergeCell ref="N6:N7"/>
    <mergeCell ref="O6:O7"/>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C0E90-A9BD-4D06-9760-410B064315E4}">
  <sheetPr codeName="Hoja1"/>
  <dimension ref="A4:BD40"/>
  <sheetViews>
    <sheetView zoomScale="90" zoomScaleNormal="90" workbookViewId="0">
      <selection activeCell="H46" sqref="H46"/>
    </sheetView>
  </sheetViews>
  <sheetFormatPr defaultColWidth="8.81640625" defaultRowHeight="13.5"/>
  <cols>
    <col min="1" max="1" width="2.81640625" style="117" bestFit="1" customWidth="1"/>
    <col min="2" max="2" width="53.1796875" style="117" bestFit="1" customWidth="1"/>
    <col min="3" max="4" width="7.453125" style="117" bestFit="1" customWidth="1"/>
    <col min="5" max="5" width="7.1796875" style="117" bestFit="1" customWidth="1"/>
    <col min="6" max="6" width="11.453125" style="117" bestFit="1" customWidth="1"/>
    <col min="7" max="7" width="2.81640625" style="118" bestFit="1" customWidth="1"/>
    <col min="8" max="8" width="53.1796875" style="117" bestFit="1" customWidth="1"/>
    <col min="9" max="14" width="7.453125" style="117" bestFit="1" customWidth="1"/>
    <col min="15" max="18" width="9.1796875" style="117" bestFit="1" customWidth="1"/>
    <col min="19" max="19" width="8.1796875" style="117" bestFit="1" customWidth="1"/>
    <col min="20" max="25" width="7.453125" style="117" bestFit="1" customWidth="1"/>
    <col min="26" max="26" width="8.1796875" style="117" bestFit="1" customWidth="1"/>
    <col min="27" max="29" width="7.453125" style="117" bestFit="1" customWidth="1"/>
    <col min="30" max="30" width="8.1796875" style="117" bestFit="1" customWidth="1"/>
    <col min="31" max="33" width="7.453125" style="117" bestFit="1" customWidth="1"/>
    <col min="34" max="34" width="8.1796875" style="117" bestFit="1" customWidth="1"/>
    <col min="35" max="36" width="7.453125" style="117" bestFit="1" customWidth="1"/>
    <col min="37" max="45" width="9.1796875" style="117" bestFit="1" customWidth="1"/>
    <col min="46" max="46" width="8.1796875" style="117" bestFit="1" customWidth="1"/>
    <col min="47" max="48" width="9.1796875" style="117" bestFit="1" customWidth="1"/>
    <col min="49" max="51" width="7.453125" style="117" bestFit="1" customWidth="1"/>
    <col min="52" max="52" width="8.1796875" style="117" bestFit="1" customWidth="1"/>
    <col min="53" max="55" width="7.453125" style="117" bestFit="1" customWidth="1"/>
    <col min="56" max="56" width="7.453125" style="117" customWidth="1"/>
    <col min="57" max="16384" width="8.81640625" style="117"/>
  </cols>
  <sheetData>
    <row r="4" spans="1:56" ht="23.5">
      <c r="B4" s="11" t="s">
        <v>0</v>
      </c>
      <c r="C4" s="119"/>
      <c r="D4" s="119"/>
      <c r="E4" s="119"/>
      <c r="H4" s="11" t="s">
        <v>0</v>
      </c>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39"/>
      <c r="BD4" s="139"/>
    </row>
    <row r="5" spans="1:56">
      <c r="BC5" s="140"/>
      <c r="BD5" s="140"/>
    </row>
    <row r="6" spans="1:56">
      <c r="A6" s="117">
        <v>1</v>
      </c>
      <c r="B6" s="120" t="s">
        <v>239</v>
      </c>
      <c r="C6" s="208" t="s">
        <v>95</v>
      </c>
      <c r="D6" s="208" t="s">
        <v>263</v>
      </c>
      <c r="E6" s="212" t="s">
        <v>96</v>
      </c>
      <c r="G6" s="118">
        <v>1</v>
      </c>
      <c r="H6" s="120" t="s">
        <v>239</v>
      </c>
      <c r="I6" s="212" t="s">
        <v>97</v>
      </c>
      <c r="J6" s="212" t="s">
        <v>98</v>
      </c>
      <c r="K6" s="212" t="s">
        <v>99</v>
      </c>
      <c r="L6" s="212" t="s">
        <v>100</v>
      </c>
      <c r="M6" s="212" t="s">
        <v>101</v>
      </c>
      <c r="N6" s="212" t="s">
        <v>102</v>
      </c>
      <c r="O6" s="212" t="s">
        <v>103</v>
      </c>
      <c r="P6" s="212" t="s">
        <v>104</v>
      </c>
      <c r="Q6" s="212" t="s">
        <v>105</v>
      </c>
      <c r="R6" s="212" t="s">
        <v>106</v>
      </c>
      <c r="S6" s="212" t="s">
        <v>107</v>
      </c>
      <c r="T6" s="212" t="s">
        <v>108</v>
      </c>
      <c r="U6" s="212" t="s">
        <v>109</v>
      </c>
      <c r="V6" s="212" t="s">
        <v>110</v>
      </c>
      <c r="W6" s="212" t="s">
        <v>111</v>
      </c>
      <c r="X6" s="212" t="s">
        <v>112</v>
      </c>
      <c r="Y6" s="212" t="s">
        <v>113</v>
      </c>
      <c r="Z6" s="212" t="s">
        <v>114</v>
      </c>
      <c r="AA6" s="212" t="s">
        <v>115</v>
      </c>
      <c r="AB6" s="212" t="s">
        <v>116</v>
      </c>
      <c r="AC6" s="212" t="s">
        <v>117</v>
      </c>
      <c r="AD6" s="212" t="s">
        <v>118</v>
      </c>
      <c r="AE6" s="212" t="s">
        <v>119</v>
      </c>
      <c r="AF6" s="212" t="s">
        <v>120</v>
      </c>
      <c r="AG6" s="212" t="s">
        <v>121</v>
      </c>
      <c r="AH6" s="212" t="s">
        <v>122</v>
      </c>
      <c r="AI6" s="212" t="s">
        <v>123</v>
      </c>
      <c r="AJ6" s="212" t="s">
        <v>124</v>
      </c>
      <c r="AK6" s="212" t="s">
        <v>125</v>
      </c>
      <c r="AL6" s="212" t="s">
        <v>126</v>
      </c>
      <c r="AM6" s="212" t="s">
        <v>127</v>
      </c>
      <c r="AN6" s="212" t="s">
        <v>128</v>
      </c>
      <c r="AO6" s="212" t="s">
        <v>129</v>
      </c>
      <c r="AP6" s="212" t="s">
        <v>130</v>
      </c>
      <c r="AQ6" s="212" t="s">
        <v>131</v>
      </c>
      <c r="AR6" s="212" t="s">
        <v>132</v>
      </c>
      <c r="AS6" s="212" t="s">
        <v>133</v>
      </c>
      <c r="AT6" s="212" t="s">
        <v>134</v>
      </c>
      <c r="AU6" s="212" t="s">
        <v>135</v>
      </c>
      <c r="AV6" s="212" t="s">
        <v>94</v>
      </c>
      <c r="AW6" s="212" t="s">
        <v>136</v>
      </c>
      <c r="AX6" s="212" t="s">
        <v>137</v>
      </c>
      <c r="AY6" s="212" t="s">
        <v>138</v>
      </c>
      <c r="AZ6" s="212" t="s">
        <v>95</v>
      </c>
      <c r="BA6" s="212" t="s">
        <v>231</v>
      </c>
      <c r="BB6" s="212" t="s">
        <v>232</v>
      </c>
      <c r="BC6" s="211" t="s">
        <v>252</v>
      </c>
      <c r="BD6" s="208" t="s">
        <v>263</v>
      </c>
    </row>
    <row r="7" spans="1:56">
      <c r="A7" s="117">
        <v>2</v>
      </c>
      <c r="B7" s="120" t="s">
        <v>161</v>
      </c>
      <c r="C7" s="212"/>
      <c r="D7" s="212"/>
      <c r="E7" s="212"/>
      <c r="G7" s="118">
        <f t="shared" ref="G7:G18" si="0">G6+1</f>
        <v>2</v>
      </c>
      <c r="H7" s="120" t="s">
        <v>161</v>
      </c>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1"/>
      <c r="BD7" s="211"/>
    </row>
    <row r="8" spans="1:56">
      <c r="A8" s="117">
        <v>3</v>
      </c>
      <c r="G8" s="118">
        <f t="shared" si="0"/>
        <v>3</v>
      </c>
      <c r="BA8" s="121"/>
      <c r="BB8" s="121"/>
      <c r="BC8" s="177"/>
      <c r="BD8" s="177"/>
    </row>
    <row r="9" spans="1:56">
      <c r="A9" s="117">
        <v>4</v>
      </c>
      <c r="B9" s="122" t="s">
        <v>240</v>
      </c>
      <c r="C9" s="123">
        <f>HLOOKUP($C$6,$H$6:$BD$18,$G9,FALSE)</f>
        <v>868.04214885441604</v>
      </c>
      <c r="D9" s="123">
        <f>HLOOKUP($D$6,$H$6:$BD$18,$G9,FALSE)</f>
        <v>883.15701933762409</v>
      </c>
      <c r="E9" s="124">
        <f>D9/C9-1</f>
        <v>1.7412599725895372E-2</v>
      </c>
      <c r="G9" s="118">
        <f t="shared" si="0"/>
        <v>4</v>
      </c>
      <c r="H9" s="122" t="s">
        <v>241</v>
      </c>
      <c r="I9" s="125">
        <v>260.39999999999998</v>
      </c>
      <c r="J9" s="123">
        <v>208.29999999999998</v>
      </c>
      <c r="K9" s="123">
        <v>337.4</v>
      </c>
      <c r="L9" s="123">
        <v>878.3</v>
      </c>
      <c r="M9" s="123">
        <v>832.8</v>
      </c>
      <c r="N9" s="123">
        <v>816.69999999999993</v>
      </c>
      <c r="O9" s="123">
        <v>912.49099999999987</v>
      </c>
      <c r="P9" s="123">
        <v>1090.6089999999999</v>
      </c>
      <c r="Q9" s="123">
        <v>1080.8256289999999</v>
      </c>
      <c r="R9" s="123">
        <v>1042.8013145999998</v>
      </c>
      <c r="S9" s="123">
        <v>827.98442899999998</v>
      </c>
      <c r="T9" s="123">
        <v>577.45219999999995</v>
      </c>
      <c r="U9" s="123">
        <v>644.96532536999996</v>
      </c>
      <c r="V9" s="123">
        <v>625.20732536999992</v>
      </c>
      <c r="W9" s="123">
        <v>642.65332536999983</v>
      </c>
      <c r="X9" s="123">
        <v>732.58632536999994</v>
      </c>
      <c r="Y9" s="123">
        <v>757.34441991999984</v>
      </c>
      <c r="Z9" s="123">
        <v>840.16941991999988</v>
      </c>
      <c r="AA9" s="123">
        <v>643.25441991999992</v>
      </c>
      <c r="AB9" s="123">
        <v>738.24441991999993</v>
      </c>
      <c r="AC9" s="123">
        <v>764.4089199199999</v>
      </c>
      <c r="AD9" s="123">
        <v>802.70891991999986</v>
      </c>
      <c r="AE9" s="123">
        <v>649.84441992000006</v>
      </c>
      <c r="AF9" s="123">
        <v>766.85041991999992</v>
      </c>
      <c r="AG9" s="123">
        <v>773.64969842999994</v>
      </c>
      <c r="AH9" s="123">
        <v>951.04969842999992</v>
      </c>
      <c r="AI9" s="123">
        <v>813.14969842999994</v>
      </c>
      <c r="AJ9" s="123">
        <v>938.64969842999994</v>
      </c>
      <c r="AK9" s="123">
        <v>905.47899842999993</v>
      </c>
      <c r="AL9" s="123">
        <v>1006.0806684300001</v>
      </c>
      <c r="AM9" s="123">
        <v>757.01755843000001</v>
      </c>
      <c r="AN9" s="123">
        <v>1864.68255843</v>
      </c>
      <c r="AO9" s="123">
        <v>1391.2534867299998</v>
      </c>
      <c r="AP9" s="123">
        <v>1175.0958348099998</v>
      </c>
      <c r="AQ9" s="123">
        <v>950.63473795999971</v>
      </c>
      <c r="AR9" s="123">
        <v>1150.6624691799996</v>
      </c>
      <c r="AS9" s="123">
        <v>1067.4524574799998</v>
      </c>
      <c r="AT9" s="123">
        <v>985.32754586981616</v>
      </c>
      <c r="AU9" s="123">
        <v>882.19505667323585</v>
      </c>
      <c r="AV9" s="123">
        <v>1092.87394421</v>
      </c>
      <c r="AW9" s="123">
        <v>947.52394420999997</v>
      </c>
      <c r="AX9" s="123">
        <v>913.52394420999997</v>
      </c>
      <c r="AY9" s="123">
        <v>824.88994420999995</v>
      </c>
      <c r="AZ9" s="123">
        <v>868.04214885441604</v>
      </c>
      <c r="BA9" s="123">
        <v>725.03027285762403</v>
      </c>
      <c r="BB9" s="123">
        <f>BA18</f>
        <v>723.99601933762415</v>
      </c>
      <c r="BC9" s="161">
        <f>BB18</f>
        <v>720.12413487762353</v>
      </c>
      <c r="BD9" s="161">
        <v>883.15701933762409</v>
      </c>
    </row>
    <row r="10" spans="1:56" ht="8.25" customHeight="1">
      <c r="A10" s="117">
        <v>5</v>
      </c>
      <c r="G10" s="118">
        <f t="shared" si="0"/>
        <v>5</v>
      </c>
      <c r="I10" s="126"/>
      <c r="J10" s="126"/>
      <c r="K10" s="126"/>
      <c r="L10" s="126"/>
      <c r="M10" s="126"/>
      <c r="N10" s="126"/>
      <c r="O10" s="126"/>
      <c r="P10" s="126"/>
      <c r="BC10" s="140"/>
      <c r="BD10" s="140"/>
    </row>
    <row r="11" spans="1:56">
      <c r="A11" s="117">
        <v>6</v>
      </c>
      <c r="B11" s="127" t="s">
        <v>242</v>
      </c>
      <c r="C11" s="128">
        <f>HLOOKUP($C$6,$H$6:$BD$18,$G11,FALSE)</f>
        <v>188.38799999999998</v>
      </c>
      <c r="D11" s="128">
        <f>HLOOKUP($D$6,$H$6:$BD$18,$G11,FALSE)</f>
        <v>111.87100000000004</v>
      </c>
      <c r="E11" s="129">
        <f>+D11/C11-1</f>
        <v>-0.40616705947300225</v>
      </c>
      <c r="G11" s="118">
        <f t="shared" si="0"/>
        <v>6</v>
      </c>
      <c r="H11" s="127" t="s">
        <v>242</v>
      </c>
      <c r="I11" s="130">
        <v>83.1</v>
      </c>
      <c r="J11" s="130">
        <v>196.8</v>
      </c>
      <c r="K11" s="130">
        <v>148.9</v>
      </c>
      <c r="L11" s="130">
        <v>166.8</v>
      </c>
      <c r="M11" s="130">
        <v>77.2</v>
      </c>
      <c r="N11" s="130">
        <v>157.346</v>
      </c>
      <c r="O11" s="130">
        <v>235.101</v>
      </c>
      <c r="P11" s="130">
        <v>248.51662899999999</v>
      </c>
      <c r="Q11" s="128">
        <v>98.175600000000003</v>
      </c>
      <c r="R11" s="128">
        <v>151.8321</v>
      </c>
      <c r="S11" s="128">
        <v>100.69827099999998</v>
      </c>
      <c r="T11" s="128">
        <v>151.289929</v>
      </c>
      <c r="U11" s="128">
        <v>87.41</v>
      </c>
      <c r="V11" s="128">
        <v>118.98099999999998</v>
      </c>
      <c r="W11" s="128">
        <v>145.17400000000004</v>
      </c>
      <c r="X11" s="128">
        <v>172.24999999999994</v>
      </c>
      <c r="Y11" s="128">
        <v>121.57799999999999</v>
      </c>
      <c r="Z11" s="128">
        <v>83.737000000000023</v>
      </c>
      <c r="AA11" s="128">
        <v>134.78500000000003</v>
      </c>
      <c r="AB11" s="128">
        <v>142.709</v>
      </c>
      <c r="AC11" s="128">
        <v>74.899999999999991</v>
      </c>
      <c r="AD11" s="128">
        <v>154</v>
      </c>
      <c r="AE11" s="128">
        <v>151.304</v>
      </c>
      <c r="AF11" s="128">
        <v>128.99599999999998</v>
      </c>
      <c r="AG11" s="128">
        <v>89.4</v>
      </c>
      <c r="AH11" s="128">
        <v>78.900000000000006</v>
      </c>
      <c r="AI11" s="128">
        <v>154.19999999999999</v>
      </c>
      <c r="AJ11" s="128">
        <v>139.4</v>
      </c>
      <c r="AK11" s="128">
        <v>96.825970000000012</v>
      </c>
      <c r="AL11" s="128">
        <v>93.198890000000006</v>
      </c>
      <c r="AM11" s="128">
        <v>73.920999999999992</v>
      </c>
      <c r="AN11" s="128">
        <v>5.0966956799996019</v>
      </c>
      <c r="AO11" s="128">
        <v>35.97561807999994</v>
      </c>
      <c r="AP11" s="128">
        <v>-87.71665885000013</v>
      </c>
      <c r="AQ11" s="128">
        <v>300.2758604500001</v>
      </c>
      <c r="AR11" s="128">
        <v>147.25068006999999</v>
      </c>
      <c r="AS11" s="128">
        <v>61.481915389816294</v>
      </c>
      <c r="AT11" s="128">
        <v>78.956926863420193</v>
      </c>
      <c r="AU11" s="128">
        <v>342.56115774676402</v>
      </c>
      <c r="AV11" s="128">
        <v>161.25</v>
      </c>
      <c r="AW11" s="128">
        <v>57.2</v>
      </c>
      <c r="AX11" s="128">
        <v>-31.430000000000003</v>
      </c>
      <c r="AY11" s="128">
        <v>129.19120464441602</v>
      </c>
      <c r="AZ11" s="128">
        <v>188.38799999999998</v>
      </c>
      <c r="BA11" s="128">
        <v>71.355897750000082</v>
      </c>
      <c r="BB11" s="128">
        <v>137.95255535999962</v>
      </c>
      <c r="BC11" s="171">
        <v>74.974513109999947</v>
      </c>
      <c r="BD11" s="171">
        <v>111.87100000000004</v>
      </c>
    </row>
    <row r="12" spans="1:56">
      <c r="A12" s="117">
        <v>7</v>
      </c>
      <c r="B12" s="127" t="s">
        <v>243</v>
      </c>
      <c r="C12" s="128">
        <f>HLOOKUP($C$6,$H$6:$BD$18,$G12,FALSE)</f>
        <v>79.074000000000012</v>
      </c>
      <c r="D12" s="128">
        <f>HLOOKUP($D$6,$H$6:$BD$18,$G12,FALSE)</f>
        <v>-85.672500000000014</v>
      </c>
      <c r="E12" s="129" t="s">
        <v>144</v>
      </c>
      <c r="G12" s="118">
        <f t="shared" si="0"/>
        <v>7</v>
      </c>
      <c r="H12" s="127" t="s">
        <v>244</v>
      </c>
      <c r="I12" s="128">
        <v>-83.1</v>
      </c>
      <c r="J12" s="128">
        <v>-47.1</v>
      </c>
      <c r="K12" s="128">
        <v>430.9</v>
      </c>
      <c r="L12" s="128">
        <v>-184</v>
      </c>
      <c r="M12" s="128">
        <v>-67.3</v>
      </c>
      <c r="N12" s="128">
        <v>-41.454999999999998</v>
      </c>
      <c r="O12" s="128">
        <v>-29.039999999999992</v>
      </c>
      <c r="P12" s="128">
        <v>-31.8</v>
      </c>
      <c r="Q12" s="128">
        <v>-73.321899999999999</v>
      </c>
      <c r="R12" s="128">
        <v>-333.88489999999996</v>
      </c>
      <c r="S12" s="128">
        <v>-281.13549999999998</v>
      </c>
      <c r="T12" s="128">
        <v>-20.301699999999993</v>
      </c>
      <c r="U12" s="128">
        <v>-71.287000000000006</v>
      </c>
      <c r="V12" s="128">
        <v>-73.373999999999995</v>
      </c>
      <c r="W12" s="128">
        <v>-26.250000000000018</v>
      </c>
      <c r="X12" s="128">
        <v>-133.18200000000002</v>
      </c>
      <c r="Y12" s="128">
        <v>-1.7210000000000001</v>
      </c>
      <c r="Z12" s="128">
        <v>-234.536</v>
      </c>
      <c r="AA12" s="128">
        <v>-11.242999999999999</v>
      </c>
      <c r="AB12" s="128">
        <v>-143.55599999999998</v>
      </c>
      <c r="AC12" s="128">
        <v>-22.200000000000003</v>
      </c>
      <c r="AD12" s="128">
        <v>-284.3</v>
      </c>
      <c r="AE12" s="128">
        <v>-12.069000000000003</v>
      </c>
      <c r="AF12" s="128">
        <v>-124.13100000000001</v>
      </c>
      <c r="AG12" s="128">
        <v>104.60000000000001</v>
      </c>
      <c r="AH12" s="128">
        <v>-200.4</v>
      </c>
      <c r="AI12" s="128">
        <v>-11.800000000000004</v>
      </c>
      <c r="AJ12" s="128">
        <v>-113.5</v>
      </c>
      <c r="AK12" s="128">
        <v>-14.065000000000001</v>
      </c>
      <c r="AL12" s="128">
        <v>-280.87299999999999</v>
      </c>
      <c r="AM12" s="128">
        <v>-12.523999999999997</v>
      </c>
      <c r="AN12" s="128">
        <v>-437.06784999999996</v>
      </c>
      <c r="AO12" s="128">
        <v>-213.036598</v>
      </c>
      <c r="AP12" s="128">
        <v>-82.088413999999972</v>
      </c>
      <c r="AQ12" s="128">
        <v>-26.361958999999999</v>
      </c>
      <c r="AR12" s="128">
        <v>-94.004051000000089</v>
      </c>
      <c r="AS12" s="128">
        <v>-43.773392000000001</v>
      </c>
      <c r="AT12" s="128">
        <v>-153.82572009999998</v>
      </c>
      <c r="AU12" s="128">
        <v>-21.000887899999999</v>
      </c>
      <c r="AV12" s="128">
        <v>-177.1</v>
      </c>
      <c r="AW12" s="128">
        <v>-25.400000000000002</v>
      </c>
      <c r="AX12" s="128">
        <v>-18.350999999999996</v>
      </c>
      <c r="AY12" s="128">
        <v>-24.974</v>
      </c>
      <c r="AZ12" s="128">
        <v>79.074000000000012</v>
      </c>
      <c r="BA12" s="128">
        <v>-25.882000000000001</v>
      </c>
      <c r="BB12" s="128">
        <v>-42.73899999999999</v>
      </c>
      <c r="BC12" s="171">
        <v>179.13017499999995</v>
      </c>
      <c r="BD12" s="171">
        <v>-85.672500000000014</v>
      </c>
    </row>
    <row r="13" spans="1:56">
      <c r="A13" s="117">
        <v>8</v>
      </c>
      <c r="B13" s="127" t="s">
        <v>245</v>
      </c>
      <c r="C13" s="128">
        <f>HLOOKUP($C$6,$H$6:$BD$18,$G13,FALSE)</f>
        <v>-429.9</v>
      </c>
      <c r="D13" s="128">
        <f>HLOOKUP($D$6,$H$6:$BD$18,$G13,FALSE)</f>
        <v>-89.118000000000009</v>
      </c>
      <c r="E13" s="129" t="s">
        <v>144</v>
      </c>
      <c r="G13" s="118">
        <f t="shared" si="0"/>
        <v>8</v>
      </c>
      <c r="H13" s="127" t="s">
        <v>246</v>
      </c>
      <c r="I13" s="128">
        <v>-48.027000000000001</v>
      </c>
      <c r="J13" s="128">
        <v>-18.8</v>
      </c>
      <c r="K13" s="128">
        <v>-20.3</v>
      </c>
      <c r="L13" s="128">
        <v>-33.9</v>
      </c>
      <c r="M13" s="128">
        <v>-26.3</v>
      </c>
      <c r="N13" s="128">
        <v>-19.755999999999997</v>
      </c>
      <c r="O13" s="128">
        <v>-22.811000000000007</v>
      </c>
      <c r="P13" s="128">
        <v>-225</v>
      </c>
      <c r="Q13" s="128">
        <v>-27.2916144</v>
      </c>
      <c r="R13" s="128">
        <v>-35.178085600000003</v>
      </c>
      <c r="S13" s="128">
        <v>-70.541000000000011</v>
      </c>
      <c r="T13" s="128">
        <v>-61.438103630000001</v>
      </c>
      <c r="U13" s="128">
        <v>-36.849000000000004</v>
      </c>
      <c r="V13" s="128">
        <v>-27.785000000000032</v>
      </c>
      <c r="W13" s="128">
        <v>-32.204999999999977</v>
      </c>
      <c r="X13" s="128">
        <v>-22.740905450000017</v>
      </c>
      <c r="Y13" s="128">
        <v>-40.059999999999995</v>
      </c>
      <c r="Z13" s="128">
        <v>-30.340000000000011</v>
      </c>
      <c r="AA13" s="128">
        <v>-25.699999999999989</v>
      </c>
      <c r="AB13" s="128">
        <v>32.133000000000003</v>
      </c>
      <c r="AC13" s="128">
        <v>-17.100000000000001</v>
      </c>
      <c r="AD13" s="128">
        <v>-18.999999999999996</v>
      </c>
      <c r="AE13" s="128">
        <v>-17.062999999999999</v>
      </c>
      <c r="AF13" s="128">
        <v>3.2630000000000008</v>
      </c>
      <c r="AG13" s="128">
        <v>-14.500000000000002</v>
      </c>
      <c r="AH13" s="128">
        <v>-13.700000000000001</v>
      </c>
      <c r="AI13" s="128">
        <v>-21.4</v>
      </c>
      <c r="AJ13" s="128">
        <v>-38.6</v>
      </c>
      <c r="AK13" s="128">
        <v>-11.397</v>
      </c>
      <c r="AL13" s="128">
        <v>-63.443000000000005</v>
      </c>
      <c r="AM13" s="128">
        <v>1055.52</v>
      </c>
      <c r="AN13" s="128">
        <v>-39.193045999999995</v>
      </c>
      <c r="AO13" s="128">
        <v>-41.212999999999994</v>
      </c>
      <c r="AP13" s="128">
        <v>-44.241773000000009</v>
      </c>
      <c r="AQ13" s="128">
        <v>-67.040999999999997</v>
      </c>
      <c r="AR13" s="128">
        <v>-135.42178799999999</v>
      </c>
      <c r="AS13" s="128">
        <v>-97.907087000000004</v>
      </c>
      <c r="AT13" s="128">
        <v>-29.27718269</v>
      </c>
      <c r="AU13" s="128">
        <v>-102.51573031</v>
      </c>
      <c r="AV13" s="128">
        <v>-137.5</v>
      </c>
      <c r="AW13" s="128">
        <v>-44.9</v>
      </c>
      <c r="AX13" s="128">
        <v>-39.027000000000001</v>
      </c>
      <c r="AY13" s="128">
        <v>-78.525000000000006</v>
      </c>
      <c r="AZ13" s="128">
        <v>-429.9</v>
      </c>
      <c r="BA13" s="128">
        <v>-52.063000000000002</v>
      </c>
      <c r="BB13" s="128">
        <v>-100.35089999999998</v>
      </c>
      <c r="BC13" s="171">
        <v>-88.825999999999993</v>
      </c>
      <c r="BD13" s="171">
        <v>-89.118000000000009</v>
      </c>
    </row>
    <row r="14" spans="1:56">
      <c r="A14" s="117">
        <v>9</v>
      </c>
      <c r="B14" s="131" t="s">
        <v>247</v>
      </c>
      <c r="C14" s="132">
        <f>HLOOKUP($C$6,$H$6:$BD$18,$G14,FALSE)</f>
        <v>-162.43799999999999</v>
      </c>
      <c r="D14" s="132">
        <f>HLOOKUP($D$6,$H$6:$BD$18,$G14,FALSE)</f>
        <v>-62.819499999999984</v>
      </c>
      <c r="E14" s="133">
        <f>+D14/C14-1</f>
        <v>-0.6132709095162463</v>
      </c>
      <c r="G14" s="118">
        <f t="shared" si="0"/>
        <v>9</v>
      </c>
      <c r="H14" s="131" t="s">
        <v>247</v>
      </c>
      <c r="I14" s="132">
        <v>-48</v>
      </c>
      <c r="J14" s="132">
        <v>130.9</v>
      </c>
      <c r="K14" s="132">
        <v>559.4</v>
      </c>
      <c r="L14" s="132">
        <v>-51.099999999999987</v>
      </c>
      <c r="M14" s="132">
        <v>-16.399999999999995</v>
      </c>
      <c r="N14" s="132">
        <v>96.135000000000005</v>
      </c>
      <c r="O14" s="132">
        <v>183.25</v>
      </c>
      <c r="P14" s="132">
        <v>-8.2833710000000167</v>
      </c>
      <c r="Q14" s="132">
        <v>-2.4379144000000226</v>
      </c>
      <c r="R14" s="132">
        <v>-217.23088559999997</v>
      </c>
      <c r="S14" s="132">
        <v>-250.978229</v>
      </c>
      <c r="T14" s="132">
        <v>69.550125370000018</v>
      </c>
      <c r="U14" s="132">
        <v>-20.726000000000013</v>
      </c>
      <c r="V14" s="132">
        <v>17.821999999999953</v>
      </c>
      <c r="W14" s="132">
        <v>86.719000000000051</v>
      </c>
      <c r="X14" s="132">
        <v>16.327094549999909</v>
      </c>
      <c r="Y14" s="132">
        <v>79.796999999999997</v>
      </c>
      <c r="Z14" s="132">
        <v>-181.13899999999998</v>
      </c>
      <c r="AA14" s="132">
        <v>97.842000000000041</v>
      </c>
      <c r="AB14" s="132">
        <v>31.286000000000023</v>
      </c>
      <c r="AC14" s="132">
        <v>35.599999999999987</v>
      </c>
      <c r="AD14" s="132">
        <v>-149.30000000000001</v>
      </c>
      <c r="AE14" s="132">
        <v>122.17200000000001</v>
      </c>
      <c r="AF14" s="132">
        <v>8.1279999999999681</v>
      </c>
      <c r="AG14" s="132">
        <v>179.5</v>
      </c>
      <c r="AH14" s="132">
        <v>-135.19999999999999</v>
      </c>
      <c r="AI14" s="132">
        <v>120.99999999999997</v>
      </c>
      <c r="AJ14" s="132">
        <v>-12.699999999999996</v>
      </c>
      <c r="AK14" s="132">
        <v>71.363970000000009</v>
      </c>
      <c r="AL14" s="132">
        <v>-251.11711</v>
      </c>
      <c r="AM14" s="132">
        <v>1116.9169999999999</v>
      </c>
      <c r="AN14" s="132">
        <v>-471.16420032000036</v>
      </c>
      <c r="AO14" s="132">
        <v>-218.27397992000004</v>
      </c>
      <c r="AP14" s="132">
        <v>-214.04684585000012</v>
      </c>
      <c r="AQ14" s="132">
        <v>206.87290145000009</v>
      </c>
      <c r="AR14" s="132">
        <v>-82.175158930000094</v>
      </c>
      <c r="AS14" s="132">
        <v>-80.198563610183712</v>
      </c>
      <c r="AT14" s="132">
        <v>-104.14597592657979</v>
      </c>
      <c r="AU14" s="132">
        <v>219.04453953676403</v>
      </c>
      <c r="AV14" s="132">
        <v>-153.35</v>
      </c>
      <c r="AW14" s="132">
        <v>-13.099999999999998</v>
      </c>
      <c r="AX14" s="132">
        <v>-88.807999999999993</v>
      </c>
      <c r="AY14" s="132">
        <v>25.692204644416009</v>
      </c>
      <c r="AZ14" s="132">
        <v>-162.43799999999999</v>
      </c>
      <c r="BA14" s="132">
        <f>SUM(BA11:BA13)</f>
        <v>-6.5891022499999252</v>
      </c>
      <c r="BB14" s="132">
        <f>SUM(BB11:BB13)</f>
        <v>-5.1373446400003502</v>
      </c>
      <c r="BC14" s="179">
        <f>SUM(BC11:BC13)</f>
        <v>165.27868810999991</v>
      </c>
      <c r="BD14" s="179">
        <f>SUM(BD11:BD13)+0.1</f>
        <v>-62.819499999999984</v>
      </c>
    </row>
    <row r="15" spans="1:56" ht="8.25" customHeight="1">
      <c r="A15" s="117">
        <v>10</v>
      </c>
      <c r="G15" s="118">
        <f t="shared" si="0"/>
        <v>10</v>
      </c>
      <c r="I15" s="126"/>
      <c r="J15" s="126"/>
      <c r="K15" s="126"/>
      <c r="L15" s="126"/>
      <c r="M15" s="126"/>
      <c r="N15" s="126"/>
      <c r="O15" s="126"/>
      <c r="P15" s="126"/>
      <c r="BC15" s="140"/>
      <c r="BD15" s="140"/>
    </row>
    <row r="16" spans="1:56">
      <c r="A16" s="117">
        <v>11</v>
      </c>
      <c r="B16" s="127" t="s">
        <v>248</v>
      </c>
      <c r="C16" s="128">
        <f>HLOOKUP($C$6,$H$6:$BD$18,$G16,FALSE)</f>
        <v>-14.838000000000001</v>
      </c>
      <c r="D16" s="128">
        <f>HLOOKUP($D$6,$H$6:$BD$18,$G16,FALSE)</f>
        <v>6.0940000000000012</v>
      </c>
      <c r="E16" s="129" t="s">
        <v>144</v>
      </c>
      <c r="G16" s="118">
        <f t="shared" si="0"/>
        <v>11</v>
      </c>
      <c r="H16" s="127" t="s">
        <v>248</v>
      </c>
      <c r="I16" s="128">
        <v>-4</v>
      </c>
      <c r="J16" s="128">
        <v>-1.8</v>
      </c>
      <c r="K16" s="128">
        <v>-18.600000000000001</v>
      </c>
      <c r="L16" s="128">
        <v>5.6</v>
      </c>
      <c r="M16" s="128">
        <v>0.3</v>
      </c>
      <c r="N16" s="128">
        <v>-0.34399999999999997</v>
      </c>
      <c r="O16" s="128">
        <v>-5.1320000000000006</v>
      </c>
      <c r="P16" s="128">
        <v>-1.5</v>
      </c>
      <c r="Q16" s="130">
        <v>6.6130000000000004</v>
      </c>
      <c r="R16" s="130">
        <v>2.4139999999999988</v>
      </c>
      <c r="S16" s="130">
        <v>0.44600000000000151</v>
      </c>
      <c r="T16" s="130">
        <v>-2.0370000000000008</v>
      </c>
      <c r="U16" s="130">
        <v>0.96800000000000008</v>
      </c>
      <c r="V16" s="128">
        <v>-0.37600000000000011</v>
      </c>
      <c r="W16" s="128">
        <v>3.2140000000000004</v>
      </c>
      <c r="X16" s="128">
        <v>8.4310000000000009</v>
      </c>
      <c r="Y16" s="128">
        <v>3.0279999999999996</v>
      </c>
      <c r="Z16" s="128">
        <v>-15.776</v>
      </c>
      <c r="AA16" s="128">
        <v>-2.8520000000000016</v>
      </c>
      <c r="AB16" s="128">
        <v>-5.1214999999999993</v>
      </c>
      <c r="AC16" s="128">
        <v>2.7</v>
      </c>
      <c r="AD16" s="128">
        <v>-3.6</v>
      </c>
      <c r="AE16" s="128">
        <v>-5.1660000000000004</v>
      </c>
      <c r="AF16" s="128">
        <v>-1.4340000000000006</v>
      </c>
      <c r="AG16" s="128">
        <v>-2.1</v>
      </c>
      <c r="AH16" s="128">
        <v>-2.6999999999999997</v>
      </c>
      <c r="AI16" s="128">
        <v>4.5</v>
      </c>
      <c r="AJ16" s="128">
        <v>10.5</v>
      </c>
      <c r="AK16" s="128">
        <v>-1.7330000000000001</v>
      </c>
      <c r="AL16" s="128">
        <v>2.0540000000000003</v>
      </c>
      <c r="AM16" s="128">
        <v>-9.2520000000000007</v>
      </c>
      <c r="AN16" s="128">
        <v>-2.0174240000000001</v>
      </c>
      <c r="AO16" s="128">
        <v>2.1163280000000002</v>
      </c>
      <c r="AP16" s="128">
        <v>-10.414251</v>
      </c>
      <c r="AQ16" s="128">
        <v>-6.845170230000349</v>
      </c>
      <c r="AR16" s="128">
        <v>-1.0348527699996519</v>
      </c>
      <c r="AS16" s="128">
        <v>-1.9263479999999999</v>
      </c>
      <c r="AT16" s="128">
        <v>1.2109999999999999</v>
      </c>
      <c r="AU16" s="128">
        <v>-8.3656520000000008</v>
      </c>
      <c r="AV16" s="128">
        <v>8</v>
      </c>
      <c r="AW16" s="128">
        <v>-20.9</v>
      </c>
      <c r="AX16" s="128">
        <v>0.17399999999999999</v>
      </c>
      <c r="AY16" s="128">
        <v>17.46</v>
      </c>
      <c r="AZ16" s="128">
        <v>-14.838000000000001</v>
      </c>
      <c r="BA16" s="128">
        <v>5.5548487300000193</v>
      </c>
      <c r="BB16" s="128">
        <v>1.2654601799997884</v>
      </c>
      <c r="BC16" s="171">
        <v>-3.2515509000005109</v>
      </c>
      <c r="BD16" s="171">
        <v>6.0940000000000012</v>
      </c>
    </row>
    <row r="17" spans="1:56" ht="8.25" customHeight="1">
      <c r="A17" s="117">
        <v>12</v>
      </c>
      <c r="G17" s="118">
        <f t="shared" si="0"/>
        <v>12</v>
      </c>
      <c r="I17" s="126"/>
      <c r="J17" s="126"/>
      <c r="K17" s="126"/>
      <c r="L17" s="126"/>
      <c r="M17" s="126"/>
      <c r="N17" s="126"/>
      <c r="O17" s="126"/>
      <c r="P17" s="126"/>
      <c r="BC17" s="140"/>
      <c r="BD17" s="140"/>
    </row>
    <row r="18" spans="1:56">
      <c r="A18" s="117">
        <v>13</v>
      </c>
      <c r="B18" s="122" t="s">
        <v>249</v>
      </c>
      <c r="C18" s="123">
        <f>HLOOKUP($C$6,$H$6:$BD$18,$G18,FALSE)</f>
        <v>690.76614885441609</v>
      </c>
      <c r="D18" s="123">
        <f>HLOOKUP($D$6,$H$6:$BD$18,$G18,FALSE)</f>
        <v>826.4315193376242</v>
      </c>
      <c r="E18" s="134">
        <f>D18/C18-1</f>
        <v>0.19639840589785562</v>
      </c>
      <c r="G18" s="118">
        <f t="shared" si="0"/>
        <v>13</v>
      </c>
      <c r="H18" s="122" t="s">
        <v>249</v>
      </c>
      <c r="I18" s="123">
        <v>208.29999999999998</v>
      </c>
      <c r="J18" s="123">
        <v>337.4</v>
      </c>
      <c r="K18" s="123">
        <v>878.3</v>
      </c>
      <c r="L18" s="123">
        <v>832.8</v>
      </c>
      <c r="M18" s="123">
        <v>816.69999999999993</v>
      </c>
      <c r="N18" s="123">
        <v>912.49099999999987</v>
      </c>
      <c r="O18" s="123">
        <v>1090.6089999999999</v>
      </c>
      <c r="P18" s="123">
        <v>1080.8256289999999</v>
      </c>
      <c r="Q18" s="123">
        <v>1042.8013145999998</v>
      </c>
      <c r="R18" s="123">
        <v>827.98442899999998</v>
      </c>
      <c r="S18" s="123">
        <v>577.45219999999995</v>
      </c>
      <c r="T18" s="123">
        <v>644.96532536999996</v>
      </c>
      <c r="U18" s="123">
        <v>625.20732536999992</v>
      </c>
      <c r="V18" s="123">
        <v>642.65332536999983</v>
      </c>
      <c r="W18" s="123">
        <v>732.58632536999994</v>
      </c>
      <c r="X18" s="123">
        <v>757.34441991999984</v>
      </c>
      <c r="Y18" s="123">
        <v>840.16941991999988</v>
      </c>
      <c r="Z18" s="123">
        <v>643.25441991999992</v>
      </c>
      <c r="AA18" s="123">
        <v>738.24441991999993</v>
      </c>
      <c r="AB18" s="123">
        <v>764.4089199199999</v>
      </c>
      <c r="AC18" s="123">
        <v>802.70891991999986</v>
      </c>
      <c r="AD18" s="123">
        <v>649.80891991999988</v>
      </c>
      <c r="AE18" s="123">
        <v>766.85041992000004</v>
      </c>
      <c r="AF18" s="123">
        <v>773.54441991999988</v>
      </c>
      <c r="AG18" s="123">
        <v>951.04969842999992</v>
      </c>
      <c r="AH18" s="123">
        <v>813.14969842999994</v>
      </c>
      <c r="AI18" s="123">
        <v>938.64969842999994</v>
      </c>
      <c r="AJ18" s="123">
        <v>936.4496984299999</v>
      </c>
      <c r="AK18" s="123">
        <v>1006.1283000000001</v>
      </c>
      <c r="AL18" s="123">
        <v>757.01755843000001</v>
      </c>
      <c r="AM18" s="123">
        <v>1864.68255843</v>
      </c>
      <c r="AN18" s="123">
        <v>1391.5009341099997</v>
      </c>
      <c r="AO18" s="123">
        <v>1175.0958348099998</v>
      </c>
      <c r="AP18" s="123">
        <v>950.63473795999971</v>
      </c>
      <c r="AQ18" s="123">
        <v>1150.6624691799993</v>
      </c>
      <c r="AR18" s="123">
        <v>1067.4524574799998</v>
      </c>
      <c r="AS18" s="123">
        <v>985.32754586981616</v>
      </c>
      <c r="AT18" s="123">
        <v>882.39256994323637</v>
      </c>
      <c r="AU18" s="123">
        <v>1092.87394421</v>
      </c>
      <c r="AV18" s="123">
        <v>947.52394420999997</v>
      </c>
      <c r="AW18" s="123">
        <v>913.52394420999997</v>
      </c>
      <c r="AX18" s="123">
        <v>824.88994420999995</v>
      </c>
      <c r="AY18" s="123">
        <v>868.04214885441604</v>
      </c>
      <c r="AZ18" s="123">
        <v>690.76614885441609</v>
      </c>
      <c r="BA18" s="123">
        <f>BA9+BA14+BA16</f>
        <v>723.99601933762415</v>
      </c>
      <c r="BB18" s="123">
        <f>BB9+BB14+BB16</f>
        <v>720.12413487762353</v>
      </c>
      <c r="BC18" s="161">
        <f>BC9+BC14+BC16</f>
        <v>882.15127208762294</v>
      </c>
      <c r="BD18" s="161">
        <f>BD9+BD14+BD16</f>
        <v>826.4315193376242</v>
      </c>
    </row>
    <row r="19" spans="1:56">
      <c r="AK19" s="135"/>
      <c r="AZ19" s="121"/>
      <c r="BC19" s="140"/>
      <c r="BD19" s="140"/>
    </row>
    <row r="20" spans="1:56">
      <c r="BC20" s="140"/>
      <c r="BD20" s="140"/>
    </row>
    <row r="21" spans="1:56">
      <c r="BC21" s="140"/>
      <c r="BD21" s="140"/>
    </row>
    <row r="22" spans="1:56">
      <c r="BC22" s="140"/>
      <c r="BD22" s="140"/>
    </row>
    <row r="23" spans="1:56" ht="23.5">
      <c r="B23" s="11" t="s">
        <v>28</v>
      </c>
      <c r="C23" s="119"/>
      <c r="D23" s="119"/>
      <c r="E23" s="119"/>
      <c r="H23" s="11" t="s">
        <v>28</v>
      </c>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39"/>
      <c r="BD23" s="139"/>
    </row>
    <row r="24" spans="1:56">
      <c r="BC24" s="140"/>
      <c r="BD24" s="140"/>
    </row>
    <row r="25" spans="1:56">
      <c r="A25" s="117">
        <v>1</v>
      </c>
      <c r="B25" s="120" t="s">
        <v>239</v>
      </c>
      <c r="C25" s="212" t="str">
        <f>C6</f>
        <v>4Q24</v>
      </c>
      <c r="D25" s="212" t="str">
        <f>D6</f>
        <v>4Q25</v>
      </c>
      <c r="E25" s="212" t="s">
        <v>96</v>
      </c>
      <c r="G25" s="118">
        <v>1</v>
      </c>
      <c r="H25" s="120" t="s">
        <v>239</v>
      </c>
      <c r="I25" s="212" t="s">
        <v>97</v>
      </c>
      <c r="J25" s="212" t="s">
        <v>98</v>
      </c>
      <c r="K25" s="212" t="s">
        <v>99</v>
      </c>
      <c r="L25" s="212" t="s">
        <v>100</v>
      </c>
      <c r="M25" s="212" t="s">
        <v>101</v>
      </c>
      <c r="N25" s="212" t="s">
        <v>102</v>
      </c>
      <c r="O25" s="212" t="s">
        <v>103</v>
      </c>
      <c r="P25" s="212" t="s">
        <v>104</v>
      </c>
      <c r="Q25" s="212" t="s">
        <v>105</v>
      </c>
      <c r="R25" s="212" t="s">
        <v>106</v>
      </c>
      <c r="S25" s="212" t="s">
        <v>107</v>
      </c>
      <c r="T25" s="212" t="s">
        <v>108</v>
      </c>
      <c r="U25" s="212" t="s">
        <v>109</v>
      </c>
      <c r="V25" s="212" t="s">
        <v>110</v>
      </c>
      <c r="W25" s="212" t="s">
        <v>111</v>
      </c>
      <c r="X25" s="212" t="s">
        <v>112</v>
      </c>
      <c r="Y25" s="212" t="s">
        <v>113</v>
      </c>
      <c r="Z25" s="212" t="s">
        <v>114</v>
      </c>
      <c r="AA25" s="212" t="s">
        <v>115</v>
      </c>
      <c r="AB25" s="212" t="s">
        <v>116</v>
      </c>
      <c r="AC25" s="212" t="s">
        <v>117</v>
      </c>
      <c r="AD25" s="212" t="s">
        <v>118</v>
      </c>
      <c r="AE25" s="212" t="s">
        <v>119</v>
      </c>
      <c r="AF25" s="212" t="s">
        <v>120</v>
      </c>
      <c r="AG25" s="212" t="s">
        <v>121</v>
      </c>
      <c r="AH25" s="212" t="s">
        <v>122</v>
      </c>
      <c r="AI25" s="212" t="s">
        <v>123</v>
      </c>
      <c r="AJ25" s="212" t="s">
        <v>124</v>
      </c>
      <c r="AK25" s="212" t="s">
        <v>125</v>
      </c>
      <c r="AL25" s="212" t="s">
        <v>126</v>
      </c>
      <c r="AM25" s="212" t="s">
        <v>127</v>
      </c>
      <c r="AN25" s="212" t="s">
        <v>128</v>
      </c>
      <c r="AO25" s="212" t="s">
        <v>129</v>
      </c>
      <c r="AP25" s="212" t="s">
        <v>130</v>
      </c>
      <c r="AQ25" s="212" t="s">
        <v>131</v>
      </c>
      <c r="AR25" s="212" t="s">
        <v>132</v>
      </c>
      <c r="AS25" s="212" t="s">
        <v>133</v>
      </c>
      <c r="AT25" s="212" t="s">
        <v>134</v>
      </c>
      <c r="AU25" s="212" t="s">
        <v>135</v>
      </c>
      <c r="AV25" s="212" t="s">
        <v>94</v>
      </c>
      <c r="AW25" s="212" t="s">
        <v>136</v>
      </c>
      <c r="AX25" s="212" t="s">
        <v>137</v>
      </c>
      <c r="AY25" s="212" t="s">
        <v>138</v>
      </c>
      <c r="AZ25" s="212" t="s">
        <v>95</v>
      </c>
      <c r="BA25" s="212" t="s">
        <v>231</v>
      </c>
      <c r="BB25" s="212" t="s">
        <v>232</v>
      </c>
      <c r="BC25" s="211" t="s">
        <v>252</v>
      </c>
      <c r="BD25" s="208" t="s">
        <v>263</v>
      </c>
    </row>
    <row r="26" spans="1:56">
      <c r="A26" s="117">
        <v>2</v>
      </c>
      <c r="B26" s="120" t="s">
        <v>161</v>
      </c>
      <c r="C26" s="212"/>
      <c r="D26" s="212"/>
      <c r="E26" s="212"/>
      <c r="G26" s="118">
        <f t="shared" ref="G26:G37" si="1">G25+1</f>
        <v>2</v>
      </c>
      <c r="H26" s="120" t="s">
        <v>161</v>
      </c>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1"/>
      <c r="BD26" s="211"/>
    </row>
    <row r="27" spans="1:56">
      <c r="A27" s="117">
        <v>3</v>
      </c>
      <c r="G27" s="118">
        <f t="shared" si="1"/>
        <v>3</v>
      </c>
      <c r="BC27" s="140"/>
      <c r="BD27" s="140"/>
    </row>
    <row r="28" spans="1:56">
      <c r="A28" s="117">
        <v>4</v>
      </c>
      <c r="B28" s="122" t="s">
        <v>240</v>
      </c>
      <c r="C28" s="123">
        <f>HLOOKUP($C$25,$H$25:$BD$37,$G28,FALSE)</f>
        <v>79.022437590000166</v>
      </c>
      <c r="D28" s="123">
        <f>HLOOKUP($D$25,$H$25:$BD$37,$G28,FALSE)</f>
        <v>65.509999999999991</v>
      </c>
      <c r="E28" s="124">
        <f>D28/C28-1</f>
        <v>-0.17099494779075375</v>
      </c>
      <c r="G28" s="118">
        <f t="shared" si="1"/>
        <v>4</v>
      </c>
      <c r="H28" s="122" t="s">
        <v>241</v>
      </c>
      <c r="I28" s="125"/>
      <c r="J28" s="125"/>
      <c r="K28" s="125"/>
      <c r="L28" s="125"/>
      <c r="M28" s="125"/>
      <c r="N28" s="125"/>
      <c r="O28" s="125"/>
      <c r="P28" s="125"/>
      <c r="Q28" s="123">
        <v>42.199399999999997</v>
      </c>
      <c r="R28" s="123">
        <v>39.150300000000001</v>
      </c>
      <c r="S28" s="123">
        <v>40.120200000000004</v>
      </c>
      <c r="T28" s="123">
        <v>42.754200000000004</v>
      </c>
      <c r="U28" s="123">
        <v>22.031700000000008</v>
      </c>
      <c r="V28" s="123">
        <v>38.978700000000003</v>
      </c>
      <c r="W28" s="123">
        <v>37.817700000000002</v>
      </c>
      <c r="X28" s="123">
        <v>43.233699999999999</v>
      </c>
      <c r="Y28" s="123">
        <v>52.870699999999999</v>
      </c>
      <c r="Z28" s="123">
        <v>40.570700000000002</v>
      </c>
      <c r="AA28" s="123">
        <v>52.370699999999999</v>
      </c>
      <c r="AB28" s="123">
        <v>46.370699999999999</v>
      </c>
      <c r="AC28" s="123">
        <v>23.670700000000004</v>
      </c>
      <c r="AD28" s="123">
        <v>12.970700000000004</v>
      </c>
      <c r="AE28" s="123">
        <v>17.470700000000004</v>
      </c>
      <c r="AF28" s="123">
        <v>13.370700000000005</v>
      </c>
      <c r="AG28" s="123">
        <v>23.770700000000005</v>
      </c>
      <c r="AH28" s="123">
        <v>28.670700000000004</v>
      </c>
      <c r="AI28" s="123">
        <v>40.970700000000001</v>
      </c>
      <c r="AJ28" s="123">
        <v>27.37070000000001</v>
      </c>
      <c r="AK28" s="123">
        <v>30.970700000000008</v>
      </c>
      <c r="AL28" s="123">
        <v>21.771700000000006</v>
      </c>
      <c r="AM28" s="123">
        <v>33.070700000000002</v>
      </c>
      <c r="AN28" s="123">
        <v>21.305700000000009</v>
      </c>
      <c r="AO28" s="123">
        <v>27.9</v>
      </c>
      <c r="AP28" s="123">
        <v>23.4</v>
      </c>
      <c r="AQ28" s="123">
        <v>39.199999999999989</v>
      </c>
      <c r="AR28" s="123">
        <v>25.24753082000052</v>
      </c>
      <c r="AS28" s="123">
        <v>87.204437590000168</v>
      </c>
      <c r="AT28" s="123">
        <v>76.74943759000017</v>
      </c>
      <c r="AU28" s="123">
        <v>67.538437590000171</v>
      </c>
      <c r="AV28" s="123">
        <v>77.826437590000168</v>
      </c>
      <c r="AW28" s="123">
        <v>83.526437590000171</v>
      </c>
      <c r="AX28" s="123">
        <v>76.626437590000165</v>
      </c>
      <c r="AY28" s="123">
        <v>81.221437590000164</v>
      </c>
      <c r="AZ28" s="123">
        <v>79.022437590000166</v>
      </c>
      <c r="BA28" s="123">
        <v>50.1</v>
      </c>
      <c r="BB28" s="123">
        <f>BA37</f>
        <v>44.370999999999995</v>
      </c>
      <c r="BC28" s="123">
        <f>BB37</f>
        <v>67.453000000000003</v>
      </c>
      <c r="BD28" s="123">
        <f>BC37</f>
        <v>65.509999999999991</v>
      </c>
    </row>
    <row r="29" spans="1:56" ht="8.25" customHeight="1">
      <c r="A29" s="117">
        <v>5</v>
      </c>
      <c r="G29" s="118">
        <f t="shared" si="1"/>
        <v>5</v>
      </c>
      <c r="I29" s="126"/>
      <c r="J29" s="126"/>
      <c r="K29" s="126"/>
      <c r="L29" s="126"/>
      <c r="M29" s="126"/>
      <c r="N29" s="126"/>
      <c r="O29" s="126"/>
      <c r="P29" s="126"/>
    </row>
    <row r="30" spans="1:56">
      <c r="A30" s="117">
        <v>6</v>
      </c>
      <c r="B30" s="127" t="s">
        <v>242</v>
      </c>
      <c r="C30" s="128">
        <f>HLOOKUP($C$25,$H$25:$BD$37,$G30,FALSE)</f>
        <v>12.312000000000003</v>
      </c>
      <c r="D30" s="128">
        <f>HLOOKUP($D$25,$H$25:$BD$37,$G30,FALSE)</f>
        <v>18.608999999999995</v>
      </c>
      <c r="E30" s="136">
        <f>+D30/C30-1</f>
        <v>0.51145224171539883</v>
      </c>
      <c r="G30" s="118">
        <f t="shared" si="1"/>
        <v>6</v>
      </c>
      <c r="H30" s="127" t="s">
        <v>242</v>
      </c>
      <c r="I30" s="130"/>
      <c r="J30" s="130"/>
      <c r="K30" s="130"/>
      <c r="L30" s="130"/>
      <c r="M30" s="130"/>
      <c r="N30" s="130"/>
      <c r="O30" s="130"/>
      <c r="P30" s="130"/>
      <c r="Q30" s="128">
        <v>5.9664000000000001</v>
      </c>
      <c r="R30" s="128">
        <v>2.9929000000000006</v>
      </c>
      <c r="S30" s="128">
        <v>8.0600999999999985</v>
      </c>
      <c r="T30" s="128">
        <v>-1.1653000000000002</v>
      </c>
      <c r="U30" s="128">
        <v>24.838000000000001</v>
      </c>
      <c r="V30" s="128">
        <v>5.1729999999999983</v>
      </c>
      <c r="W30" s="128">
        <v>25.257000000000001</v>
      </c>
      <c r="X30" s="128">
        <v>21.855999999999995</v>
      </c>
      <c r="Y30" s="128">
        <v>9.1999999999999993</v>
      </c>
      <c r="Z30" s="128">
        <v>15.1</v>
      </c>
      <c r="AA30" s="128">
        <v>7.6</v>
      </c>
      <c r="AB30" s="128">
        <v>1.6910000000000025</v>
      </c>
      <c r="AC30" s="128">
        <v>3.4</v>
      </c>
      <c r="AD30" s="128">
        <v>20.7</v>
      </c>
      <c r="AE30" s="128">
        <v>13.7</v>
      </c>
      <c r="AF30" s="128">
        <v>18</v>
      </c>
      <c r="AG30" s="128">
        <v>8.5</v>
      </c>
      <c r="AH30" s="128">
        <v>16.5</v>
      </c>
      <c r="AI30" s="128">
        <v>29</v>
      </c>
      <c r="AJ30" s="128">
        <v>9.5</v>
      </c>
      <c r="AK30" s="128">
        <v>15.1</v>
      </c>
      <c r="AL30" s="128">
        <v>17.199999999999996</v>
      </c>
      <c r="AM30" s="128">
        <v>20.379000000000005</v>
      </c>
      <c r="AN30" s="128">
        <v>12.820999999999998</v>
      </c>
      <c r="AO30" s="128">
        <v>20.3</v>
      </c>
      <c r="AP30" s="128">
        <v>22.699999999999992</v>
      </c>
      <c r="AQ30" s="128">
        <v>22.000000000000007</v>
      </c>
      <c r="AR30" s="128">
        <v>31.200000000000003</v>
      </c>
      <c r="AS30" s="128">
        <v>16.400000000000002</v>
      </c>
      <c r="AT30" s="128">
        <v>-0.29999999999999893</v>
      </c>
      <c r="AU30" s="128">
        <v>39</v>
      </c>
      <c r="AV30" s="128">
        <v>19</v>
      </c>
      <c r="AW30" s="128">
        <v>17.499999999999996</v>
      </c>
      <c r="AX30" s="128">
        <v>36.261000000000003</v>
      </c>
      <c r="AY30" s="128">
        <v>21.557000000000002</v>
      </c>
      <c r="AZ30" s="128">
        <v>12.312000000000003</v>
      </c>
      <c r="BA30" s="128">
        <v>13.638999999999994</v>
      </c>
      <c r="BB30" s="128">
        <v>30.653000000000013</v>
      </c>
      <c r="BC30" s="128">
        <v>18.446999999999996</v>
      </c>
      <c r="BD30" s="128">
        <v>18.608999999999995</v>
      </c>
    </row>
    <row r="31" spans="1:56">
      <c r="A31" s="117">
        <v>7</v>
      </c>
      <c r="B31" s="127" t="s">
        <v>250</v>
      </c>
      <c r="C31" s="128">
        <f>HLOOKUP($C$25,$H$25:$BD$37,$G31,FALSE)</f>
        <v>-6.6740000000000004</v>
      </c>
      <c r="D31" s="128">
        <f>HLOOKUP($D$25,$H$25:$BD$37,$G31,FALSE)</f>
        <v>-25.230499999999992</v>
      </c>
      <c r="E31" s="136">
        <f>+D31/C31-1</f>
        <v>2.7804165418040143</v>
      </c>
      <c r="G31" s="118">
        <f t="shared" si="1"/>
        <v>7</v>
      </c>
      <c r="H31" s="127" t="s">
        <v>244</v>
      </c>
      <c r="I31" s="130"/>
      <c r="J31" s="130"/>
      <c r="K31" s="130"/>
      <c r="L31" s="130"/>
      <c r="M31" s="130"/>
      <c r="N31" s="130"/>
      <c r="O31" s="130"/>
      <c r="P31" s="130"/>
      <c r="Q31" s="128">
        <v>-8.8450999999999986</v>
      </c>
      <c r="R31" s="128">
        <v>-0.5151</v>
      </c>
      <c r="S31" s="128">
        <v>-4.3264999999999993</v>
      </c>
      <c r="T31" s="128">
        <v>-18.684299999999997</v>
      </c>
      <c r="U31" s="128">
        <v>-4.7039999999999997</v>
      </c>
      <c r="V31" s="128">
        <v>-3.0090000000000003</v>
      </c>
      <c r="W31" s="128">
        <v>-17.099</v>
      </c>
      <c r="X31" s="128">
        <v>-9.5029999999999966</v>
      </c>
      <c r="Y31" s="128">
        <v>-18</v>
      </c>
      <c r="Z31" s="128">
        <v>-0.7</v>
      </c>
      <c r="AA31" s="128">
        <v>-13</v>
      </c>
      <c r="AB31" s="128">
        <v>26.256</v>
      </c>
      <c r="AC31" s="128">
        <v>-13.9</v>
      </c>
      <c r="AD31" s="128">
        <v>-6.7</v>
      </c>
      <c r="AE31" s="128">
        <v>-17.399999999999999</v>
      </c>
      <c r="AF31" s="128">
        <v>-4.3</v>
      </c>
      <c r="AG31" s="128">
        <v>1.1000000000000001</v>
      </c>
      <c r="AH31" s="128">
        <v>0.6</v>
      </c>
      <c r="AI31" s="128">
        <v>-21.4</v>
      </c>
      <c r="AJ31" s="128">
        <v>-5.7</v>
      </c>
      <c r="AK31" s="128">
        <v>-23.45</v>
      </c>
      <c r="AL31" s="128">
        <v>-4.8500000000000014</v>
      </c>
      <c r="AM31" s="128">
        <v>-22.776</v>
      </c>
      <c r="AN31" s="128">
        <v>-4.6240000000000023</v>
      </c>
      <c r="AO31" s="128">
        <v>-24</v>
      </c>
      <c r="AP31" s="128">
        <v>-5</v>
      </c>
      <c r="AQ31" s="128">
        <v>-23.8</v>
      </c>
      <c r="AR31" s="128">
        <v>-4.6000000000000014</v>
      </c>
      <c r="AS31" s="128">
        <v>-3</v>
      </c>
      <c r="AT31" s="128">
        <v>-4.3000000000000007</v>
      </c>
      <c r="AU31" s="128">
        <v>-23.7</v>
      </c>
      <c r="AV31" s="128">
        <v>-4.8</v>
      </c>
      <c r="AW31" s="128">
        <v>-22.2</v>
      </c>
      <c r="AX31" s="128">
        <v>-26.949000000000002</v>
      </c>
      <c r="AY31" s="128">
        <v>-21.556000000000001</v>
      </c>
      <c r="AZ31" s="128">
        <v>-6.6740000000000004</v>
      </c>
      <c r="BA31" s="128">
        <v>-17.581</v>
      </c>
      <c r="BB31" s="128">
        <v>-4.5070000000000014</v>
      </c>
      <c r="BC31" s="128">
        <v>-16.701000000000001</v>
      </c>
      <c r="BD31" s="128">
        <v>-25.230499999999992</v>
      </c>
    </row>
    <row r="32" spans="1:56">
      <c r="A32" s="117">
        <v>8</v>
      </c>
      <c r="B32" s="127" t="s">
        <v>246</v>
      </c>
      <c r="C32" s="128">
        <f>HLOOKUP($C$25,$H$25:$BD$37,$G32,FALSE)</f>
        <v>-3</v>
      </c>
      <c r="D32" s="128">
        <f>HLOOKUP($D$25,$H$25:$BD$37,$G32,FALSE)</f>
        <v>-2.3780000000000001</v>
      </c>
      <c r="E32" s="136">
        <f>+D32/C32-1</f>
        <v>-0.20733333333333326</v>
      </c>
      <c r="G32" s="118">
        <f t="shared" si="1"/>
        <v>8</v>
      </c>
      <c r="H32" s="127" t="s">
        <v>246</v>
      </c>
      <c r="I32" s="130"/>
      <c r="J32" s="130"/>
      <c r="K32" s="130"/>
      <c r="L32" s="130"/>
      <c r="M32" s="130"/>
      <c r="N32" s="130"/>
      <c r="O32" s="130"/>
      <c r="P32" s="130"/>
      <c r="Q32" s="128">
        <v>-0.1704</v>
      </c>
      <c r="R32" s="128">
        <v>-1.5079</v>
      </c>
      <c r="S32" s="128">
        <v>-1.0996000000000001</v>
      </c>
      <c r="T32" s="128">
        <v>-0.87290000000000001</v>
      </c>
      <c r="U32" s="128">
        <v>-3.5649999999999999</v>
      </c>
      <c r="V32" s="128">
        <v>-3.3409999999999997</v>
      </c>
      <c r="W32" s="128">
        <v>-1.5170000000000003</v>
      </c>
      <c r="X32" s="128">
        <v>-1.0719999999999992</v>
      </c>
      <c r="Y32" s="128">
        <v>-2.1</v>
      </c>
      <c r="Z32" s="128">
        <v>-1.9</v>
      </c>
      <c r="AA32" s="128">
        <v>-0.5</v>
      </c>
      <c r="AB32" s="128">
        <v>-50.133000000000003</v>
      </c>
      <c r="AC32" s="128">
        <v>-0.5</v>
      </c>
      <c r="AD32" s="128">
        <v>-9.6999999999999993</v>
      </c>
      <c r="AE32" s="128">
        <v>-0.1</v>
      </c>
      <c r="AF32" s="128">
        <v>-3.8</v>
      </c>
      <c r="AG32" s="128">
        <v>-4.0999999999999996</v>
      </c>
      <c r="AH32" s="128">
        <v>-4.5999999999999996</v>
      </c>
      <c r="AI32" s="128">
        <v>-20.9</v>
      </c>
      <c r="AJ32" s="128">
        <v>-0.1</v>
      </c>
      <c r="AK32" s="128">
        <v>-0.503</v>
      </c>
      <c r="AL32" s="128">
        <v>-1.097</v>
      </c>
      <c r="AM32" s="128">
        <v>-8.32</v>
      </c>
      <c r="AN32" s="128">
        <v>-2.3800000000000008</v>
      </c>
      <c r="AO32" s="128">
        <v>-2.2000000000000002</v>
      </c>
      <c r="AP32" s="128">
        <v>-1.6999999999999997</v>
      </c>
      <c r="AQ32" s="128">
        <v>-11.6</v>
      </c>
      <c r="AR32" s="128">
        <v>35.199999999999996</v>
      </c>
      <c r="AS32" s="128">
        <v>-24.2</v>
      </c>
      <c r="AT32" s="128">
        <v>-5.3000000000000007</v>
      </c>
      <c r="AU32" s="128">
        <v>-4.2</v>
      </c>
      <c r="AV32" s="128">
        <v>-8.4</v>
      </c>
      <c r="AW32" s="128">
        <v>-1.7000000000000002</v>
      </c>
      <c r="AX32" s="128">
        <v>-4.2729999999999997</v>
      </c>
      <c r="AY32" s="128">
        <v>-2.6</v>
      </c>
      <c r="AZ32" s="128">
        <v>-3</v>
      </c>
      <c r="BA32" s="128">
        <v>-2.1709999999999998</v>
      </c>
      <c r="BB32" s="128">
        <v>-3.3960000000000004</v>
      </c>
      <c r="BC32" s="128">
        <v>-4.2509999999999994</v>
      </c>
      <c r="BD32" s="128">
        <v>-2.3780000000000001</v>
      </c>
    </row>
    <row r="33" spans="1:56">
      <c r="A33" s="117">
        <v>9</v>
      </c>
      <c r="B33" s="131" t="s">
        <v>247</v>
      </c>
      <c r="C33" s="132">
        <f>HLOOKUP($C$25,$H$25:$BD$37,$G33,FALSE)</f>
        <v>2.6380000000000026</v>
      </c>
      <c r="D33" s="132">
        <f>HLOOKUP($D$25,$H$25:$BD$37,$G33,FALSE)</f>
        <v>-8.9994999999999976</v>
      </c>
      <c r="E33" s="133">
        <f>+D33/C33-1</f>
        <v>-4.4114859742228916</v>
      </c>
      <c r="G33" s="118">
        <f t="shared" si="1"/>
        <v>9</v>
      </c>
      <c r="H33" s="131" t="s">
        <v>247</v>
      </c>
      <c r="I33" s="137"/>
      <c r="J33" s="137"/>
      <c r="K33" s="137"/>
      <c r="L33" s="137"/>
      <c r="M33" s="137"/>
      <c r="N33" s="137"/>
      <c r="O33" s="137"/>
      <c r="P33" s="137"/>
      <c r="Q33" s="132">
        <v>-3.0490999999999984</v>
      </c>
      <c r="R33" s="132">
        <v>0.96990000000000065</v>
      </c>
      <c r="S33" s="132">
        <v>2.633999999999999</v>
      </c>
      <c r="T33" s="132">
        <v>-20.722499999999997</v>
      </c>
      <c r="U33" s="132">
        <v>16.568999999999999</v>
      </c>
      <c r="V33" s="132">
        <v>-1.1770000000000018</v>
      </c>
      <c r="W33" s="132">
        <v>6.6410000000000009</v>
      </c>
      <c r="X33" s="132">
        <v>11.280999999999999</v>
      </c>
      <c r="Y33" s="132">
        <v>-10.9</v>
      </c>
      <c r="Z33" s="132">
        <v>12.5</v>
      </c>
      <c r="AA33" s="132">
        <v>-5.9</v>
      </c>
      <c r="AB33" s="132">
        <v>-22.186</v>
      </c>
      <c r="AC33" s="132">
        <v>-11</v>
      </c>
      <c r="AD33" s="132">
        <v>4.3000000000000007</v>
      </c>
      <c r="AE33" s="132">
        <v>-3.7999999999999994</v>
      </c>
      <c r="AF33" s="132">
        <v>9.8999999999999986</v>
      </c>
      <c r="AG33" s="132">
        <v>5.5</v>
      </c>
      <c r="AH33" s="132">
        <v>12.500000000000002</v>
      </c>
      <c r="AI33" s="132">
        <v>-13.299999999999997</v>
      </c>
      <c r="AJ33" s="132">
        <v>3.6999999999999997</v>
      </c>
      <c r="AK33" s="132">
        <v>-8.8529999999999998</v>
      </c>
      <c r="AL33" s="132">
        <v>11.252999999999995</v>
      </c>
      <c r="AM33" s="132">
        <v>-10.716999999999995</v>
      </c>
      <c r="AN33" s="132">
        <v>5.8169999999999948</v>
      </c>
      <c r="AO33" s="132">
        <v>-5.8999999999999995</v>
      </c>
      <c r="AP33" s="132">
        <v>15.999999999999993</v>
      </c>
      <c r="AQ33" s="132">
        <v>-13.399999999999993</v>
      </c>
      <c r="AR33" s="132">
        <v>61.8</v>
      </c>
      <c r="AS33" s="132">
        <v>-10.799999999999997</v>
      </c>
      <c r="AT33" s="132">
        <v>-9.9</v>
      </c>
      <c r="AU33" s="132">
        <v>11.100000000000001</v>
      </c>
      <c r="AV33" s="132">
        <v>5.7999999999999989</v>
      </c>
      <c r="AW33" s="132">
        <v>-6.400000000000003</v>
      </c>
      <c r="AX33" s="132">
        <v>5.0390000000000015</v>
      </c>
      <c r="AY33" s="132">
        <v>-2.5989999999999989</v>
      </c>
      <c r="AZ33" s="132">
        <v>2.6380000000000026</v>
      </c>
      <c r="BA33" s="132">
        <f>SUM(BA30:BA32)</f>
        <v>-6.1130000000000049</v>
      </c>
      <c r="BB33" s="132">
        <f>SUM(BB30:BB32)</f>
        <v>22.750000000000011</v>
      </c>
      <c r="BC33" s="132">
        <f>SUM(BC30:BC32)</f>
        <v>-2.5050000000000043</v>
      </c>
      <c r="BD33" s="132">
        <f>SUM(BD30:BD32)</f>
        <v>-8.9994999999999976</v>
      </c>
    </row>
    <row r="34" spans="1:56" ht="8.25" customHeight="1">
      <c r="A34" s="117">
        <v>10</v>
      </c>
      <c r="G34" s="118">
        <f t="shared" si="1"/>
        <v>10</v>
      </c>
      <c r="I34" s="126"/>
      <c r="J34" s="126"/>
      <c r="K34" s="126"/>
      <c r="L34" s="126"/>
      <c r="M34" s="126"/>
      <c r="N34" s="126"/>
      <c r="O34" s="126"/>
      <c r="P34" s="126"/>
    </row>
    <row r="35" spans="1:56">
      <c r="A35" s="117">
        <v>11</v>
      </c>
      <c r="B35" s="127" t="s">
        <v>248</v>
      </c>
      <c r="C35" s="128">
        <f>HLOOKUP($C$25,$H$25:$BD$37,$G35,FALSE)</f>
        <v>-0.1</v>
      </c>
      <c r="D35" s="128">
        <f>HLOOKUP($D$25,$H$25:$BD$37,$G35,FALSE)</f>
        <v>0.35799999999999987</v>
      </c>
      <c r="E35" s="136">
        <f>+D35/C35-1</f>
        <v>-4.5799999999999983</v>
      </c>
      <c r="G35" s="118">
        <f t="shared" si="1"/>
        <v>11</v>
      </c>
      <c r="H35" s="127" t="s">
        <v>248</v>
      </c>
      <c r="I35" s="130"/>
      <c r="J35" s="130"/>
      <c r="K35" s="130"/>
      <c r="L35" s="130"/>
      <c r="M35" s="130"/>
      <c r="N35" s="130"/>
      <c r="O35" s="130"/>
      <c r="P35" s="130"/>
      <c r="Q35" s="130">
        <v>0</v>
      </c>
      <c r="R35" s="130">
        <v>0</v>
      </c>
      <c r="S35" s="130">
        <v>0</v>
      </c>
      <c r="T35" s="130">
        <v>0</v>
      </c>
      <c r="U35" s="130">
        <v>0.378</v>
      </c>
      <c r="V35" s="128">
        <v>1.6000000000000014E-2</v>
      </c>
      <c r="W35" s="128">
        <v>-1.2250000000000001</v>
      </c>
      <c r="X35" s="128">
        <v>-1.6440000000000001</v>
      </c>
      <c r="Y35" s="128">
        <v>-1.4</v>
      </c>
      <c r="Z35" s="128">
        <v>-0.7</v>
      </c>
      <c r="AA35" s="128">
        <v>-0.1</v>
      </c>
      <c r="AB35" s="128">
        <v>-0.47850000000000037</v>
      </c>
      <c r="AC35" s="128">
        <v>0.3</v>
      </c>
      <c r="AD35" s="128">
        <v>0.2</v>
      </c>
      <c r="AE35" s="128">
        <v>-0.3</v>
      </c>
      <c r="AF35" s="128">
        <v>0.5</v>
      </c>
      <c r="AG35" s="128">
        <v>-0.6</v>
      </c>
      <c r="AH35" s="128">
        <v>-0.2</v>
      </c>
      <c r="AI35" s="128">
        <v>-0.3</v>
      </c>
      <c r="AJ35" s="128">
        <v>-0.1</v>
      </c>
      <c r="AK35" s="128">
        <v>-0.34599999999999997</v>
      </c>
      <c r="AL35" s="128">
        <v>4.5999999999999985E-2</v>
      </c>
      <c r="AM35" s="128">
        <v>-1.048</v>
      </c>
      <c r="AN35" s="128">
        <v>0.59800000000000009</v>
      </c>
      <c r="AO35" s="128">
        <v>1.4</v>
      </c>
      <c r="AP35" s="128">
        <v>-0.19999999999999996</v>
      </c>
      <c r="AQ35" s="128">
        <v>-0.65690676999965092</v>
      </c>
      <c r="AR35" s="128">
        <v>0.15690676999965092</v>
      </c>
      <c r="AS35" s="128">
        <v>0.34500000000000003</v>
      </c>
      <c r="AT35" s="128">
        <v>0.68900000000000006</v>
      </c>
      <c r="AU35" s="128">
        <v>-0.81200000000000006</v>
      </c>
      <c r="AV35" s="128">
        <v>-0.1</v>
      </c>
      <c r="AW35" s="128">
        <v>-0.5</v>
      </c>
      <c r="AX35" s="128">
        <v>-0.44400000000000001</v>
      </c>
      <c r="AY35" s="128">
        <v>0.4</v>
      </c>
      <c r="AZ35" s="128">
        <v>-0.1</v>
      </c>
      <c r="BA35" s="128">
        <v>0.38400000000000001</v>
      </c>
      <c r="BB35" s="128">
        <v>0.33199999999999996</v>
      </c>
      <c r="BC35" s="128">
        <v>0.56200000000000006</v>
      </c>
      <c r="BD35" s="128">
        <v>0.35799999999999987</v>
      </c>
    </row>
    <row r="36" spans="1:56" ht="8.25" customHeight="1">
      <c r="A36" s="117">
        <v>12</v>
      </c>
      <c r="G36" s="118">
        <f t="shared" si="1"/>
        <v>12</v>
      </c>
      <c r="I36" s="126"/>
      <c r="J36" s="126"/>
      <c r="K36" s="126"/>
      <c r="L36" s="126"/>
      <c r="M36" s="126"/>
      <c r="N36" s="126"/>
      <c r="O36" s="126"/>
      <c r="P36" s="126"/>
    </row>
    <row r="37" spans="1:56">
      <c r="A37" s="117">
        <v>13</v>
      </c>
      <c r="B37" s="122" t="s">
        <v>249</v>
      </c>
      <c r="C37" s="123">
        <f>HLOOKUP($C$25,$H$25:$BD$37,$G37,FALSE)</f>
        <v>81.560437590000177</v>
      </c>
      <c r="D37" s="123">
        <f>HLOOKUP($D$25,$H$25:$BD$37,$G37,FALSE)</f>
        <v>56.86849999999999</v>
      </c>
      <c r="E37" s="134">
        <f>D37/C37-1</f>
        <v>-0.30274405483360933</v>
      </c>
      <c r="G37" s="118">
        <f t="shared" si="1"/>
        <v>13</v>
      </c>
      <c r="H37" s="122" t="s">
        <v>249</v>
      </c>
      <c r="I37" s="125"/>
      <c r="J37" s="125"/>
      <c r="K37" s="125"/>
      <c r="L37" s="125"/>
      <c r="M37" s="125"/>
      <c r="N37" s="125"/>
      <c r="O37" s="125"/>
      <c r="P37" s="125"/>
      <c r="Q37" s="123">
        <v>39.150300000000001</v>
      </c>
      <c r="R37" s="123">
        <v>40.120200000000004</v>
      </c>
      <c r="S37" s="123">
        <v>42.754200000000004</v>
      </c>
      <c r="T37" s="123">
        <v>22.031700000000008</v>
      </c>
      <c r="U37" s="123">
        <v>38.978700000000003</v>
      </c>
      <c r="V37" s="123">
        <v>37.817700000000002</v>
      </c>
      <c r="W37" s="123">
        <v>43.233699999999999</v>
      </c>
      <c r="X37" s="123">
        <v>52.870699999999999</v>
      </c>
      <c r="Y37" s="123">
        <v>40.570700000000002</v>
      </c>
      <c r="Z37" s="123">
        <v>52.370699999999999</v>
      </c>
      <c r="AA37" s="123">
        <v>46.370699999999999</v>
      </c>
      <c r="AB37" s="123">
        <v>23.706199999999999</v>
      </c>
      <c r="AC37" s="123">
        <v>12.970700000000004</v>
      </c>
      <c r="AD37" s="123">
        <v>17.470700000000004</v>
      </c>
      <c r="AE37" s="123">
        <v>13.370700000000005</v>
      </c>
      <c r="AF37" s="123">
        <v>23.770700000000005</v>
      </c>
      <c r="AG37" s="123">
        <v>28.670700000000004</v>
      </c>
      <c r="AH37" s="123">
        <v>40.970700000000001</v>
      </c>
      <c r="AI37" s="123">
        <v>27.370700000000003</v>
      </c>
      <c r="AJ37" s="123">
        <v>30.970700000000008</v>
      </c>
      <c r="AK37" s="123">
        <v>21.771700000000006</v>
      </c>
      <c r="AL37" s="123">
        <v>33.070700000000002</v>
      </c>
      <c r="AM37" s="123">
        <v>21.305700000000009</v>
      </c>
      <c r="AN37" s="123">
        <v>27.720700000000001</v>
      </c>
      <c r="AO37" s="123">
        <v>23.4</v>
      </c>
      <c r="AP37" s="123">
        <v>39.199999999999989</v>
      </c>
      <c r="AQ37" s="123">
        <v>25.247530820000748</v>
      </c>
      <c r="AR37" s="123">
        <v>87.204437590000168</v>
      </c>
      <c r="AS37" s="123">
        <v>76.74943759000017</v>
      </c>
      <c r="AT37" s="123">
        <v>67.538437590000171</v>
      </c>
      <c r="AU37" s="123">
        <v>77.826437590000168</v>
      </c>
      <c r="AV37" s="123">
        <v>83.526437590000171</v>
      </c>
      <c r="AW37" s="123">
        <v>76.626437590000165</v>
      </c>
      <c r="AX37" s="123">
        <v>81.221437590000164</v>
      </c>
      <c r="AY37" s="123">
        <v>79.022437590000166</v>
      </c>
      <c r="AZ37" s="123">
        <v>81.560437590000177</v>
      </c>
      <c r="BA37" s="123">
        <f>BA28+BA33+BA35</f>
        <v>44.370999999999995</v>
      </c>
      <c r="BB37" s="123">
        <f>BB28+BB33+BB35</f>
        <v>67.453000000000003</v>
      </c>
      <c r="BC37" s="123">
        <f>BC28+BC33+BC35</f>
        <v>65.509999999999991</v>
      </c>
      <c r="BD37" s="123">
        <f>BD28+BD33+BD35</f>
        <v>56.86849999999999</v>
      </c>
    </row>
    <row r="38" spans="1:56">
      <c r="BC38" s="140"/>
      <c r="BD38" s="140"/>
    </row>
    <row r="39" spans="1:56">
      <c r="BC39" s="140"/>
      <c r="BD39" s="140"/>
    </row>
    <row r="40" spans="1:56">
      <c r="B40" s="213" t="s">
        <v>251</v>
      </c>
      <c r="C40" s="214"/>
      <c r="D40" s="214"/>
      <c r="E40" s="214"/>
      <c r="BC40" s="140"/>
      <c r="BD40" s="140"/>
    </row>
  </sheetData>
  <mergeCells count="103">
    <mergeCell ref="BD25:BD26"/>
    <mergeCell ref="BC25:BC26"/>
    <mergeCell ref="C25:C26"/>
    <mergeCell ref="D25:D26"/>
    <mergeCell ref="E25:E26"/>
    <mergeCell ref="I25:I26"/>
    <mergeCell ref="J25:J26"/>
    <mergeCell ref="K25:K26"/>
    <mergeCell ref="AV6:AV7"/>
    <mergeCell ref="AW6:AW7"/>
    <mergeCell ref="AX6:AX7"/>
    <mergeCell ref="AY6:AY7"/>
    <mergeCell ref="AZ6:AZ7"/>
    <mergeCell ref="BA6:BA7"/>
    <mergeCell ref="AP6:AP7"/>
    <mergeCell ref="AQ6:AQ7"/>
    <mergeCell ref="AR6:AR7"/>
    <mergeCell ref="AS6:AS7"/>
    <mergeCell ref="C6:C7"/>
    <mergeCell ref="D6:D7"/>
    <mergeCell ref="E6:E7"/>
    <mergeCell ref="I6:I7"/>
    <mergeCell ref="J6:J7"/>
    <mergeCell ref="K6:K7"/>
    <mergeCell ref="W25:W26"/>
    <mergeCell ref="T6:T7"/>
    <mergeCell ref="AA6:AA7"/>
    <mergeCell ref="AB6:AB7"/>
    <mergeCell ref="AC6:AC7"/>
    <mergeCell ref="R6:R7"/>
    <mergeCell ref="S6:S7"/>
    <mergeCell ref="AH25:AH26"/>
    <mergeCell ref="AI25:AI26"/>
    <mergeCell ref="X25:X26"/>
    <mergeCell ref="W6:W7"/>
    <mergeCell ref="U6:U7"/>
    <mergeCell ref="V6:V7"/>
    <mergeCell ref="AA25:AA26"/>
    <mergeCell ref="AB25:AB26"/>
    <mergeCell ref="AC25:AC26"/>
    <mergeCell ref="BC6:BC7"/>
    <mergeCell ref="BD6:BD7"/>
    <mergeCell ref="L25:L26"/>
    <mergeCell ref="M25:M26"/>
    <mergeCell ref="N25:N26"/>
    <mergeCell ref="O25:O26"/>
    <mergeCell ref="P25:P26"/>
    <mergeCell ref="Q25:Q26"/>
    <mergeCell ref="X6:X7"/>
    <mergeCell ref="Y6:Y7"/>
    <mergeCell ref="Z6:Z7"/>
    <mergeCell ref="L6:L7"/>
    <mergeCell ref="M6:M7"/>
    <mergeCell ref="N6:N7"/>
    <mergeCell ref="O6:O7"/>
    <mergeCell ref="P6:P7"/>
    <mergeCell ref="Q6:Q7"/>
    <mergeCell ref="Y25:Y26"/>
    <mergeCell ref="Z25:Z26"/>
    <mergeCell ref="R25:R26"/>
    <mergeCell ref="S25:S26"/>
    <mergeCell ref="T25:T26"/>
    <mergeCell ref="U25:U26"/>
    <mergeCell ref="V25:V26"/>
    <mergeCell ref="BB6:BB7"/>
    <mergeCell ref="AO6:AO7"/>
    <mergeCell ref="AD6:AD7"/>
    <mergeCell ref="AE6:AE7"/>
    <mergeCell ref="AF6:AF7"/>
    <mergeCell ref="AG6:AG7"/>
    <mergeCell ref="AH6:AH7"/>
    <mergeCell ref="AI6:AI7"/>
    <mergeCell ref="AT6:AT7"/>
    <mergeCell ref="AU6:AU7"/>
    <mergeCell ref="AJ6:AJ7"/>
    <mergeCell ref="AK6:AK7"/>
    <mergeCell ref="AL6:AL7"/>
    <mergeCell ref="AM6:AM7"/>
    <mergeCell ref="AN6:AN7"/>
    <mergeCell ref="BB25:BB26"/>
    <mergeCell ref="B40:E40"/>
    <mergeCell ref="AV25:AV26"/>
    <mergeCell ref="AW25:AW26"/>
    <mergeCell ref="AX25:AX26"/>
    <mergeCell ref="AY25:AY26"/>
    <mergeCell ref="AZ25:AZ26"/>
    <mergeCell ref="BA25:BA26"/>
    <mergeCell ref="AP25:AP26"/>
    <mergeCell ref="AQ25:AQ26"/>
    <mergeCell ref="AR25:AR26"/>
    <mergeCell ref="AS25:AS26"/>
    <mergeCell ref="AT25:AT26"/>
    <mergeCell ref="AU25:AU26"/>
    <mergeCell ref="AJ25:AJ26"/>
    <mergeCell ref="AK25:AK26"/>
    <mergeCell ref="AL25:AL26"/>
    <mergeCell ref="AM25:AM26"/>
    <mergeCell ref="AN25:AN26"/>
    <mergeCell ref="AO25:AO26"/>
    <mergeCell ref="AD25:AD26"/>
    <mergeCell ref="AE25:AE26"/>
    <mergeCell ref="AF25:AF26"/>
    <mergeCell ref="AG25:AG2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4:Q23"/>
  <sheetViews>
    <sheetView zoomScale="90" zoomScaleNormal="90" workbookViewId="0">
      <selection activeCell="A6" sqref="A6"/>
    </sheetView>
  </sheetViews>
  <sheetFormatPr defaultColWidth="11.453125" defaultRowHeight="13.5"/>
  <cols>
    <col min="1" max="1" width="27.453125" style="40" customWidth="1"/>
    <col min="2" max="4" width="7.54296875" style="40" hidden="1" customWidth="1"/>
    <col min="5" max="17" width="7.54296875" style="40" customWidth="1"/>
    <col min="18" max="16384" width="11.453125" style="40"/>
  </cols>
  <sheetData>
    <row r="4" spans="1:17" ht="23.5">
      <c r="A4" s="11" t="s">
        <v>0</v>
      </c>
      <c r="B4" s="12"/>
      <c r="C4" s="12"/>
      <c r="D4" s="12"/>
      <c r="E4" s="12"/>
      <c r="F4" s="12"/>
      <c r="G4" s="12"/>
      <c r="H4" s="12"/>
      <c r="I4" s="12"/>
      <c r="J4" s="12"/>
      <c r="K4" s="12"/>
      <c r="L4" s="12"/>
      <c r="M4" s="12"/>
      <c r="N4" s="12"/>
      <c r="O4" s="139"/>
      <c r="P4" s="139"/>
      <c r="Q4" s="139"/>
    </row>
    <row r="5" spans="1:17" ht="14.25" customHeight="1">
      <c r="A5" s="1"/>
      <c r="B5" s="1"/>
      <c r="O5" s="180"/>
      <c r="P5" s="180"/>
      <c r="Q5" s="180"/>
    </row>
    <row r="6" spans="1:17">
      <c r="A6" s="3" t="s">
        <v>228</v>
      </c>
      <c r="B6" s="208">
        <v>2018</v>
      </c>
      <c r="C6" s="208">
        <v>2021</v>
      </c>
      <c r="D6" s="208">
        <v>2022</v>
      </c>
      <c r="E6" s="208">
        <v>2023</v>
      </c>
      <c r="F6" s="208">
        <v>2024</v>
      </c>
      <c r="G6" s="208">
        <v>2025</v>
      </c>
      <c r="H6" s="208">
        <v>2026</v>
      </c>
      <c r="I6" s="208">
        <v>2027</v>
      </c>
      <c r="J6" s="208">
        <v>2028</v>
      </c>
      <c r="K6" s="208">
        <v>2029</v>
      </c>
      <c r="L6" s="208">
        <v>2030</v>
      </c>
      <c r="M6" s="208">
        <v>2031</v>
      </c>
      <c r="N6" s="211">
        <v>2032</v>
      </c>
      <c r="O6" s="211">
        <v>2033</v>
      </c>
      <c r="P6" s="211">
        <v>2034</v>
      </c>
      <c r="Q6" s="211">
        <v>2035</v>
      </c>
    </row>
    <row r="7" spans="1:17">
      <c r="A7" s="3" t="s">
        <v>161</v>
      </c>
      <c r="B7" s="208"/>
      <c r="C7" s="208"/>
      <c r="D7" s="208"/>
      <c r="E7" s="208"/>
      <c r="F7" s="208"/>
      <c r="G7" s="208"/>
      <c r="H7" s="208"/>
      <c r="I7" s="208"/>
      <c r="J7" s="208"/>
      <c r="K7" s="208"/>
      <c r="L7" s="208"/>
      <c r="M7" s="208"/>
      <c r="N7" s="211"/>
      <c r="O7" s="211"/>
      <c r="P7" s="211"/>
      <c r="Q7" s="211"/>
    </row>
    <row r="8" spans="1:17" ht="8.25" customHeight="1">
      <c r="A8" s="1"/>
      <c r="B8" s="1"/>
      <c r="O8" s="180"/>
      <c r="P8" s="180"/>
      <c r="Q8" s="180"/>
    </row>
    <row r="9" spans="1:17" ht="14.5">
      <c r="A9" s="5" t="s">
        <v>229</v>
      </c>
      <c r="B9" s="7">
        <v>0</v>
      </c>
      <c r="C9" s="62"/>
      <c r="D9" s="62"/>
      <c r="E9" s="62"/>
      <c r="F9" s="62"/>
      <c r="G9" s="62">
        <v>0</v>
      </c>
      <c r="H9" s="62">
        <v>0</v>
      </c>
      <c r="I9" s="62">
        <v>234</v>
      </c>
      <c r="J9" s="62">
        <v>0</v>
      </c>
      <c r="K9" s="62">
        <v>360</v>
      </c>
      <c r="L9" s="62">
        <v>500</v>
      </c>
      <c r="M9" s="62">
        <v>0</v>
      </c>
      <c r="N9" s="62">
        <v>600</v>
      </c>
      <c r="O9" s="181">
        <v>0</v>
      </c>
      <c r="P9" s="181">
        <v>0</v>
      </c>
      <c r="Q9" s="181">
        <v>500</v>
      </c>
    </row>
    <row r="10" spans="1:17">
      <c r="O10" s="180"/>
      <c r="P10" s="180"/>
      <c r="Q10" s="180"/>
    </row>
    <row r="11" spans="1:17">
      <c r="O11" s="180"/>
      <c r="P11" s="180"/>
      <c r="Q11" s="180"/>
    </row>
    <row r="12" spans="1:17">
      <c r="O12" s="180"/>
      <c r="P12" s="180"/>
      <c r="Q12" s="180"/>
    </row>
    <row r="13" spans="1:17">
      <c r="O13" s="180"/>
      <c r="P13" s="180"/>
      <c r="Q13" s="180"/>
    </row>
    <row r="14" spans="1:17" ht="23.5">
      <c r="A14" s="11" t="s">
        <v>28</v>
      </c>
      <c r="B14" s="12"/>
      <c r="C14" s="12"/>
      <c r="D14" s="12"/>
      <c r="E14" s="12"/>
      <c r="F14" s="12"/>
      <c r="G14" s="12"/>
      <c r="H14" s="12"/>
      <c r="I14" s="12"/>
      <c r="J14" s="12"/>
      <c r="K14" s="12"/>
      <c r="L14" s="12"/>
      <c r="M14" s="12"/>
      <c r="N14" s="12"/>
      <c r="O14" s="139"/>
      <c r="P14" s="139"/>
      <c r="Q14" s="139"/>
    </row>
    <row r="15" spans="1:17" ht="13.5" customHeight="1">
      <c r="A15" s="1"/>
      <c r="B15" s="1"/>
      <c r="O15" s="180"/>
      <c r="P15" s="180"/>
      <c r="Q15" s="180"/>
    </row>
    <row r="16" spans="1:17">
      <c r="A16" s="3" t="s">
        <v>228</v>
      </c>
      <c r="B16" s="208">
        <v>2018</v>
      </c>
      <c r="C16" s="208">
        <v>2021</v>
      </c>
      <c r="D16" s="208">
        <v>2022</v>
      </c>
      <c r="E16" s="208">
        <v>2023</v>
      </c>
      <c r="F16" s="208">
        <v>2024</v>
      </c>
      <c r="G16" s="208">
        <v>2025</v>
      </c>
      <c r="H16" s="208">
        <v>2026</v>
      </c>
      <c r="I16" s="208">
        <v>2027</v>
      </c>
      <c r="J16" s="215">
        <v>2028</v>
      </c>
      <c r="K16" s="208">
        <v>2029</v>
      </c>
      <c r="L16" s="208">
        <v>2030</v>
      </c>
      <c r="M16" s="208">
        <v>2031</v>
      </c>
      <c r="N16" s="211">
        <v>2032</v>
      </c>
      <c r="O16" s="211">
        <v>2033</v>
      </c>
      <c r="P16" s="211">
        <v>2034</v>
      </c>
      <c r="Q16" s="211">
        <v>2035</v>
      </c>
    </row>
    <row r="17" spans="1:17">
      <c r="A17" s="3" t="s">
        <v>161</v>
      </c>
      <c r="B17" s="208"/>
      <c r="C17" s="208"/>
      <c r="D17" s="208"/>
      <c r="E17" s="208"/>
      <c r="F17" s="208"/>
      <c r="G17" s="208"/>
      <c r="H17" s="208"/>
      <c r="I17" s="208"/>
      <c r="J17" s="215"/>
      <c r="K17" s="208"/>
      <c r="L17" s="208"/>
      <c r="M17" s="208"/>
      <c r="N17" s="211"/>
      <c r="O17" s="211"/>
      <c r="P17" s="211"/>
      <c r="Q17" s="211"/>
    </row>
    <row r="18" spans="1:17">
      <c r="A18" s="1"/>
      <c r="B18" s="1"/>
      <c r="O18" s="180"/>
      <c r="P18" s="180"/>
      <c r="Q18" s="180"/>
    </row>
    <row r="19" spans="1:17" ht="14.5">
      <c r="A19" s="5" t="s">
        <v>89</v>
      </c>
      <c r="B19" s="7">
        <v>0</v>
      </c>
      <c r="C19" s="61"/>
      <c r="D19" s="61">
        <v>0</v>
      </c>
      <c r="E19" s="61"/>
      <c r="F19" s="61"/>
      <c r="G19" s="61"/>
      <c r="H19" s="61">
        <v>21</v>
      </c>
      <c r="I19" s="61"/>
      <c r="J19" s="49">
        <v>0</v>
      </c>
      <c r="K19" s="49">
        <v>0</v>
      </c>
      <c r="L19" s="49">
        <v>200</v>
      </c>
      <c r="M19" s="49">
        <v>0</v>
      </c>
      <c r="N19" s="49">
        <v>0</v>
      </c>
      <c r="O19" s="182">
        <v>0</v>
      </c>
      <c r="P19" s="182">
        <v>0</v>
      </c>
      <c r="Q19" s="182">
        <v>0</v>
      </c>
    </row>
    <row r="20" spans="1:17">
      <c r="O20" s="180"/>
      <c r="P20" s="180"/>
      <c r="Q20" s="180"/>
    </row>
    <row r="21" spans="1:17">
      <c r="A21" s="1" t="s">
        <v>230</v>
      </c>
      <c r="B21" s="1"/>
      <c r="C21" s="1"/>
      <c r="D21" s="1"/>
      <c r="E21" s="1"/>
      <c r="F21" s="1"/>
      <c r="G21" s="1"/>
      <c r="H21" s="1"/>
      <c r="I21" s="1"/>
      <c r="O21" s="180"/>
      <c r="P21" s="180"/>
      <c r="Q21" s="180"/>
    </row>
    <row r="22" spans="1:17">
      <c r="A22" s="1"/>
      <c r="B22" s="1"/>
      <c r="C22" s="1"/>
      <c r="D22" s="1"/>
      <c r="E22" s="1"/>
      <c r="F22" s="1"/>
      <c r="O22" s="180"/>
      <c r="P22" s="180"/>
      <c r="Q22" s="180"/>
    </row>
    <row r="23" spans="1:17">
      <c r="A23" s="1"/>
      <c r="B23" s="1"/>
      <c r="C23" s="1"/>
      <c r="D23" s="1"/>
      <c r="E23" s="1"/>
      <c r="F23" s="1"/>
      <c r="O23" s="180"/>
      <c r="P23" s="180"/>
      <c r="Q23" s="180"/>
    </row>
  </sheetData>
  <mergeCells count="32">
    <mergeCell ref="O6:O7"/>
    <mergeCell ref="P6:P7"/>
    <mergeCell ref="Q6:Q7"/>
    <mergeCell ref="O16:O17"/>
    <mergeCell ref="P16:P17"/>
    <mergeCell ref="Q16:Q1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 ref="L6:L7"/>
    <mergeCell ref="L16:L17"/>
    <mergeCell ref="K6:K7"/>
    <mergeCell ref="C6:C7"/>
    <mergeCell ref="D6:D7"/>
    <mergeCell ref="J6:J7"/>
    <mergeCell ref="I6:I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8" ma:contentTypeDescription="Crear nuevo documento." ma:contentTypeScope="" ma:versionID="ca1c745d9cd720bc8ced52a6e4356cbc">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1a4cbf5b60dc6dbb79042031057a7b1e"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19AD42-FC78-4475-A764-7C4C3ECDF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A24069-4881-426E-A50B-2B90C6FAFD2F}">
  <ds:schemaRefs>
    <ds:schemaRef ds:uri="http://www.w3.org/XML/1998/namespace"/>
    <ds:schemaRef ds:uri="http://purl.org/dc/dcmitype/"/>
    <ds:schemaRef ds:uri="8448556e-ab45-447d-a243-5b6498f30d0f"/>
    <ds:schemaRef ds:uri="http://purl.org/dc/elements/1.1/"/>
    <ds:schemaRef ds:uri="http://schemas.microsoft.com/office/2006/documentManagement/types"/>
    <ds:schemaRef ds:uri="af28b929-2fa0-4937-be7e-13907b45f7fc"/>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PPAs</vt:lpstr>
      <vt:lpstr>Installed Capacity</vt:lpstr>
      <vt:lpstr>Physical Sales &amp; Gx.</vt:lpstr>
      <vt:lpstr>Income Statement</vt:lpstr>
      <vt:lpstr>Operating Income</vt:lpstr>
      <vt:lpstr>Non-Operating Income</vt:lpstr>
      <vt:lpstr>Cash Flow</vt:lpstr>
      <vt:lpstr>Amortization Profile</vt:lpstr>
      <vt:lpstr>Balance Sheet</vt:lpstr>
      <vt:lpstr>Main Debt Items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2026-01-28T01:25:04Z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