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colbun.sharepoint.com/sites/AnlisisRazonado/Documentos compartidos/General/01 Análisis Razonado/2025/2T25/"/>
    </mc:Choice>
  </mc:AlternateContent>
  <xr:revisionPtr revIDLastSave="2278" documentId="8_{91A2C3C6-380F-49FA-A59A-D2ABB313A4EE}" xr6:coauthVersionLast="47" xr6:coauthVersionMax="47" xr10:uidLastSave="{90A0928B-1526-4ABC-98B6-B2F0E6CE0D8A}"/>
  <bookViews>
    <workbookView xWindow="-120" yWindow="-120" windowWidth="29040" windowHeight="15720" tabRatio="773" firstSheet="1" activeTab="10" xr2:uid="{00000000-000D-0000-FFFF-FFFF00000000}"/>
  </bookViews>
  <sheets>
    <sheet name="Index" sheetId="10" r:id="rId1"/>
    <sheet name="PPAs" sheetId="15" r:id="rId2"/>
    <sheet name="Installed Capacity" sheetId="12" r:id="rId3"/>
    <sheet name="Physical Sales &amp; Gx." sheetId="6" r:id="rId4"/>
    <sheet name="Income Statement" sheetId="1" r:id="rId5"/>
    <sheet name="Operating Income" sheetId="2" r:id="rId6"/>
    <sheet name="Non-Operating Income" sheetId="3" r:id="rId7"/>
    <sheet name="Balance Sheet" sheetId="4" r:id="rId8"/>
    <sheet name="Main Debt Items" sheetId="7" r:id="rId9"/>
    <sheet name="Amortization Profile" sheetId="8" r:id="rId10"/>
    <sheet name="Cash Flow" sheetId="16"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6" l="1"/>
  <c r="G29" i="16" s="1"/>
  <c r="G30" i="16" s="1"/>
  <c r="G27" i="16"/>
  <c r="G26" i="16"/>
  <c r="D25" i="16"/>
  <c r="C25" i="16"/>
  <c r="G7" i="16"/>
  <c r="G8" i="16" s="1"/>
  <c r="G9" i="16" s="1"/>
  <c r="C30" i="16" l="1"/>
  <c r="D30" i="16"/>
  <c r="G31" i="16"/>
  <c r="G10" i="16"/>
  <c r="G11" i="16" s="1"/>
  <c r="D9" i="16"/>
  <c r="E30" i="16" l="1"/>
  <c r="C28" i="16"/>
  <c r="C9" i="16"/>
  <c r="E9" i="16" s="1"/>
  <c r="G32" i="16"/>
  <c r="D31" i="16"/>
  <c r="C31" i="16"/>
  <c r="D11" i="16"/>
  <c r="C11" i="16"/>
  <c r="G12" i="16"/>
  <c r="D28" i="16" l="1"/>
  <c r="E28" i="16" s="1"/>
  <c r="E11" i="16"/>
  <c r="E31" i="16"/>
  <c r="G33" i="16"/>
  <c r="C32" i="16"/>
  <c r="D32" i="16"/>
  <c r="C12" i="16"/>
  <c r="D12" i="16"/>
  <c r="G13" i="16"/>
  <c r="E32" i="16" l="1"/>
  <c r="C13" i="16"/>
  <c r="G14" i="16"/>
  <c r="D13" i="16"/>
  <c r="G34" i="16"/>
  <c r="G35" i="16" s="1"/>
  <c r="D33" i="16"/>
  <c r="C33" i="16"/>
  <c r="E33" i="16" l="1"/>
  <c r="D35" i="16"/>
  <c r="G36" i="16"/>
  <c r="G37" i="16" s="1"/>
  <c r="C35" i="16"/>
  <c r="C14" i="16"/>
  <c r="D14" i="16"/>
  <c r="G15" i="16"/>
  <c r="G16" i="16" s="1"/>
  <c r="E14" i="16" l="1"/>
  <c r="D16" i="16"/>
  <c r="G17" i="16"/>
  <c r="G18" i="16" s="1"/>
  <c r="C16" i="16"/>
  <c r="D37" i="16"/>
  <c r="C37" i="16"/>
  <c r="E35" i="16"/>
  <c r="E37" i="16" l="1"/>
  <c r="D18" i="16"/>
  <c r="C18" i="16"/>
  <c r="E18" i="16" l="1"/>
  <c r="C29" i="12" l="1"/>
  <c r="AZ25" i="7" l="1"/>
  <c r="AZ11" i="7"/>
  <c r="BA11" i="7" l="1"/>
  <c r="BA25" i="7"/>
  <c r="AO37" i="4" l="1"/>
  <c r="AO31" i="4"/>
  <c r="AO18" i="4"/>
  <c r="AO12" i="4"/>
  <c r="BB47" i="3"/>
  <c r="BA47" i="3"/>
  <c r="BB46" i="3"/>
  <c r="BA46" i="3"/>
  <c r="BA38" i="3"/>
  <c r="AY38" i="3"/>
  <c r="BB38" i="3"/>
  <c r="BA15" i="3"/>
  <c r="BB15" i="3"/>
  <c r="AP18" i="4" l="1"/>
  <c r="AP37" i="4"/>
  <c r="AP12" i="4"/>
  <c r="AP31" i="4"/>
  <c r="AV65" i="2" l="1"/>
  <c r="AV67" i="2" s="1"/>
  <c r="AU65" i="2"/>
  <c r="AU67" i="2" s="1"/>
  <c r="AT65" i="2"/>
  <c r="AT67" i="2" s="1"/>
  <c r="BA52" i="2"/>
  <c r="BB52" i="2"/>
  <c r="BA45" i="2"/>
  <c r="BB45" i="2"/>
  <c r="AW17" i="2"/>
  <c r="AX17" i="2"/>
  <c r="AY17" i="2"/>
  <c r="AZ17" i="2"/>
  <c r="BA17" i="2"/>
  <c r="BB17" i="2"/>
  <c r="AW10" i="2"/>
  <c r="AX10" i="2"/>
  <c r="AY10" i="2"/>
  <c r="AZ10" i="2"/>
  <c r="BA10" i="2"/>
  <c r="BB10" i="2"/>
  <c r="BB25" i="2" s="1"/>
  <c r="BB31" i="2" s="1"/>
  <c r="BB33" i="2" s="1"/>
  <c r="AP37" i="1"/>
  <c r="AO37" i="1"/>
  <c r="AN37" i="1"/>
  <c r="AM37" i="1"/>
  <c r="AL37" i="1"/>
  <c r="AK37" i="1"/>
  <c r="AP13" i="1"/>
  <c r="AO13" i="1"/>
  <c r="AN13" i="1"/>
  <c r="AM13" i="1"/>
  <c r="AL13" i="1"/>
  <c r="AK13" i="1"/>
  <c r="AP9" i="1"/>
  <c r="AP21" i="1" s="1"/>
  <c r="AP27" i="1" s="1"/>
  <c r="AO9" i="1"/>
  <c r="AN9" i="1"/>
  <c r="AN21" i="1" s="1"/>
  <c r="AN27" i="1" s="1"/>
  <c r="AM9" i="1"/>
  <c r="AM21" i="1" s="1"/>
  <c r="AM27" i="1" s="1"/>
  <c r="AL9" i="1"/>
  <c r="AK9" i="1"/>
  <c r="BB51" i="6"/>
  <c r="BA51" i="6"/>
  <c r="BA29" i="6"/>
  <c r="BB29" i="6"/>
  <c r="BB46" i="6"/>
  <c r="BA46" i="6"/>
  <c r="BB39" i="6"/>
  <c r="BA39" i="6"/>
  <c r="BB17" i="6"/>
  <c r="BA17" i="6"/>
  <c r="BB9" i="6"/>
  <c r="AX29" i="6"/>
  <c r="AY29" i="6"/>
  <c r="AZ29" i="6"/>
  <c r="AZ24" i="6"/>
  <c r="AL21" i="1" l="1"/>
  <c r="AL27" i="1" s="1"/>
  <c r="AO21" i="1"/>
  <c r="AO27" i="1" s="1"/>
  <c r="BA25" i="2"/>
  <c r="BA31" i="2" s="1"/>
  <c r="BA33" i="2" s="1"/>
  <c r="AZ25" i="2"/>
  <c r="AZ31" i="2" s="1"/>
  <c r="AZ33" i="2" s="1"/>
  <c r="AY25" i="2"/>
  <c r="AY31" i="2" s="1"/>
  <c r="AY33" i="2" s="1"/>
  <c r="BA12" i="7" s="1"/>
  <c r="BA13" i="7" s="1"/>
  <c r="AX25" i="2"/>
  <c r="AX31" i="2" s="1"/>
  <c r="AX33" i="2" s="1"/>
  <c r="AW25" i="2"/>
  <c r="AW31" i="2" s="1"/>
  <c r="AW33" i="2" s="1"/>
  <c r="AK21" i="1"/>
  <c r="AK27" i="1" s="1"/>
  <c r="AK39" i="1" s="1"/>
  <c r="AK43" i="1" s="1"/>
  <c r="AN39" i="1"/>
  <c r="AN43" i="1" s="1"/>
  <c r="AN29" i="1"/>
  <c r="AL29" i="1"/>
  <c r="AL39" i="1"/>
  <c r="AL43" i="1" s="1"/>
  <c r="AM29" i="1"/>
  <c r="AM39" i="1"/>
  <c r="AM43" i="1" s="1"/>
  <c r="AP39" i="1"/>
  <c r="AP43" i="1" s="1"/>
  <c r="AP29" i="1"/>
  <c r="AO39" i="1"/>
  <c r="AO43" i="1" s="1"/>
  <c r="AO29" i="1"/>
  <c r="BB59" i="2"/>
  <c r="BB65" i="2" s="1"/>
  <c r="BB67" i="2" s="1"/>
  <c r="BA59" i="2"/>
  <c r="BA65" i="2" s="1"/>
  <c r="BA67" i="2" s="1"/>
  <c r="AZ12" i="7"/>
  <c r="AZ13" i="7" s="1"/>
  <c r="BA9" i="6"/>
  <c r="AV42" i="3"/>
  <c r="AV44" i="3"/>
  <c r="AV40" i="3"/>
  <c r="AV36" i="3"/>
  <c r="AV35" i="3"/>
  <c r="AV34" i="3"/>
  <c r="AV33" i="3"/>
  <c r="AV38" i="3" s="1"/>
  <c r="AK29" i="1" l="1"/>
  <c r="AY25" i="7"/>
  <c r="AY11" i="7"/>
  <c r="AN18" i="4"/>
  <c r="AN35" i="4"/>
  <c r="AZ44" i="3"/>
  <c r="AZ46" i="3" s="1"/>
  <c r="AZ23" i="3" s="1"/>
  <c r="AZ40" i="3"/>
  <c r="AZ36" i="3"/>
  <c r="AZ35" i="3"/>
  <c r="AZ34" i="3"/>
  <c r="AZ33" i="3"/>
  <c r="AZ38" i="3" s="1"/>
  <c r="AW33" i="3"/>
  <c r="AX33" i="3"/>
  <c r="AW34" i="3"/>
  <c r="AX34" i="3"/>
  <c r="AW35" i="3"/>
  <c r="AX35" i="3"/>
  <c r="AW36" i="3"/>
  <c r="AX38" i="3" l="1"/>
  <c r="AW38" i="3"/>
  <c r="AN34" i="4"/>
  <c r="AN33" i="4"/>
  <c r="AN29" i="4"/>
  <c r="AN28" i="4"/>
  <c r="AN12" i="4"/>
  <c r="AN31" i="4" l="1"/>
  <c r="AN37" i="4"/>
  <c r="AZ47" i="3" l="1"/>
  <c r="C42" i="2" l="1"/>
  <c r="AZ15" i="3"/>
  <c r="AZ52" i="2"/>
  <c r="AZ45" i="2"/>
  <c r="AZ46" i="6"/>
  <c r="AZ41" i="6"/>
  <c r="AZ39" i="6" s="1"/>
  <c r="AZ17" i="6"/>
  <c r="AZ59" i="2" l="1"/>
  <c r="AZ65" i="2" s="1"/>
  <c r="AZ67" i="2" s="1"/>
  <c r="AZ9" i="6"/>
  <c r="C11" i="15" l="1"/>
  <c r="AX25" i="7" l="1"/>
  <c r="AX11" i="7"/>
  <c r="AM16" i="4"/>
  <c r="AM37" i="4"/>
  <c r="AM12" i="4"/>
  <c r="AM31" i="4"/>
  <c r="AY47" i="3"/>
  <c r="AY46" i="3"/>
  <c r="AY15" i="3"/>
  <c r="AY45" i="2"/>
  <c r="AY52" i="2"/>
  <c r="AY41" i="6"/>
  <c r="AY39" i="6" s="1"/>
  <c r="D30" i="3"/>
  <c r="C30" i="3"/>
  <c r="AY51" i="6"/>
  <c r="AY46" i="6"/>
  <c r="AY24" i="6"/>
  <c r="AY20" i="6"/>
  <c r="AY9" i="6"/>
  <c r="AL16" i="4"/>
  <c r="AL14" i="4"/>
  <c r="AT21" i="3"/>
  <c r="AT17" i="3"/>
  <c r="AT12" i="3"/>
  <c r="AT11" i="3"/>
  <c r="AT10" i="3"/>
  <c r="AT9" i="3"/>
  <c r="AT38" i="3"/>
  <c r="AT19" i="3"/>
  <c r="AT13" i="3"/>
  <c r="AY59" i="2" l="1"/>
  <c r="AY65" i="2" s="1"/>
  <c r="AY67" i="2" s="1"/>
  <c r="BA26" i="7" s="1"/>
  <c r="BA27" i="7" s="1"/>
  <c r="AY17" i="6"/>
  <c r="AM18" i="4"/>
  <c r="AT10" i="2"/>
  <c r="AU10" i="2"/>
  <c r="AV10" i="2"/>
  <c r="AT17" i="2"/>
  <c r="AU17" i="2"/>
  <c r="AV17" i="2"/>
  <c r="AW23" i="7"/>
  <c r="AW25" i="7" s="1"/>
  <c r="AW9" i="7"/>
  <c r="AK37" i="4"/>
  <c r="AL37" i="4"/>
  <c r="AK31" i="4"/>
  <c r="AL31" i="4"/>
  <c r="AL18" i="4"/>
  <c r="AK12" i="4"/>
  <c r="AL12" i="4"/>
  <c r="AX45" i="2"/>
  <c r="AX52" i="2"/>
  <c r="AX44" i="3"/>
  <c r="AX47" i="3" s="1"/>
  <c r="AX42" i="3"/>
  <c r="AX40" i="3"/>
  <c r="AV15" i="3"/>
  <c r="AW15" i="3"/>
  <c r="AX46" i="3" l="1"/>
  <c r="AU25" i="2"/>
  <c r="AU31" i="2" s="1"/>
  <c r="AU33" i="2" s="1"/>
  <c r="AW11" i="7"/>
  <c r="AV25" i="2"/>
  <c r="AX59" i="2"/>
  <c r="AX65" i="2" s="1"/>
  <c r="AX67" i="2" s="1"/>
  <c r="AZ26" i="7" s="1"/>
  <c r="AZ27" i="7" s="1"/>
  <c r="AT25" i="2"/>
  <c r="AT31" i="2" s="1"/>
  <c r="AX51" i="6" l="1"/>
  <c r="AX46" i="6"/>
  <c r="AW46" i="6"/>
  <c r="AX39" i="6"/>
  <c r="AX17" i="6"/>
  <c r="AX9" i="6"/>
  <c r="AQ23" i="3" l="1"/>
  <c r="AK16" i="4" l="1"/>
  <c r="AK18" i="4" s="1"/>
  <c r="AW44" i="3"/>
  <c r="AW42" i="3"/>
  <c r="AW40" i="3"/>
  <c r="AV25" i="7" l="1"/>
  <c r="AV11" i="7"/>
  <c r="AW52" i="2" l="1"/>
  <c r="AT47" i="3"/>
  <c r="AU47" i="3"/>
  <c r="AW47" i="3"/>
  <c r="AT46" i="3"/>
  <c r="AT23" i="3" s="1"/>
  <c r="AU46" i="3"/>
  <c r="AU23" i="3" s="1"/>
  <c r="AW46" i="3"/>
  <c r="AW23" i="3" s="1"/>
  <c r="AS47" i="3"/>
  <c r="AS46" i="3"/>
  <c r="AS23" i="3" s="1"/>
  <c r="AW45" i="2"/>
  <c r="AY12" i="7"/>
  <c r="AY13" i="7" s="1"/>
  <c r="AW29" i="6"/>
  <c r="AW17" i="6"/>
  <c r="AW9" i="6"/>
  <c r="AT33" i="2"/>
  <c r="AR31" i="2"/>
  <c r="AR33" i="2" s="1"/>
  <c r="AH16" i="4"/>
  <c r="AH15" i="4"/>
  <c r="AH14" i="4"/>
  <c r="AH10" i="4"/>
  <c r="AH9" i="4"/>
  <c r="AF10" i="4"/>
  <c r="AF9" i="4"/>
  <c r="AW59" i="2" l="1"/>
  <c r="AW65" i="2" s="1"/>
  <c r="AW67" i="2" s="1"/>
  <c r="AH18" i="4"/>
  <c r="AJ16" i="4"/>
  <c r="AJ15" i="4"/>
  <c r="AJ14" i="4"/>
  <c r="AJ10" i="4"/>
  <c r="AJ9" i="4"/>
  <c r="AJ37" i="4"/>
  <c r="AJ18" i="4" s="1"/>
  <c r="AJ31" i="4"/>
  <c r="AJ12" i="4" s="1"/>
  <c r="AX26" i="7" l="1"/>
  <c r="AX27" i="7" s="1"/>
  <c r="AY26" i="7"/>
  <c r="AY27" i="7" s="1"/>
  <c r="AW26" i="7"/>
  <c r="AW27" i="7" s="1"/>
  <c r="AV26" i="7"/>
  <c r="AV27" i="7" s="1"/>
  <c r="AU25" i="7" l="1"/>
  <c r="AU11" i="7"/>
  <c r="AS11" i="2" l="1"/>
  <c r="AS12" i="2"/>
  <c r="AR17" i="2"/>
  <c r="AS17" i="2"/>
  <c r="AR52" i="2"/>
  <c r="AV31" i="2" l="1"/>
  <c r="AV33" i="2" s="1"/>
  <c r="AW12" i="7" l="1"/>
  <c r="AX12" i="7"/>
  <c r="AX13" i="7" s="1"/>
  <c r="AV12" i="7"/>
  <c r="AV13" i="7" s="1"/>
  <c r="AR15" i="3"/>
  <c r="AJ43" i="1"/>
  <c r="AV46" i="6"/>
  <c r="AR51" i="6"/>
  <c r="AV17" i="6"/>
  <c r="AV29" i="6"/>
  <c r="AV9" i="6"/>
  <c r="AW13" i="7" l="1"/>
  <c r="AV47" i="3"/>
  <c r="AV46" i="3"/>
  <c r="AV23" i="3" s="1"/>
  <c r="C25" i="12"/>
  <c r="AF16" i="4"/>
  <c r="AI10" i="4"/>
  <c r="AI9" i="4"/>
  <c r="F21" i="7"/>
  <c r="F22" i="7" s="1"/>
  <c r="F23" i="7" s="1"/>
  <c r="F24" i="7" s="1"/>
  <c r="F25" i="7" s="1"/>
  <c r="F26" i="7" s="1"/>
  <c r="F27" i="7" s="1"/>
  <c r="F7" i="7"/>
  <c r="F8" i="7" s="1"/>
  <c r="F9" i="7" s="1"/>
  <c r="C20" i="7"/>
  <c r="C24" i="7" s="1"/>
  <c r="B20" i="7"/>
  <c r="B24" i="7" s="1"/>
  <c r="G26" i="4"/>
  <c r="G27" i="4" s="1"/>
  <c r="G28" i="4" s="1"/>
  <c r="G29" i="4" s="1"/>
  <c r="G30" i="4" s="1"/>
  <c r="G31" i="4" s="1"/>
  <c r="G32" i="4" s="1"/>
  <c r="G7" i="4"/>
  <c r="G8" i="4" s="1"/>
  <c r="G9" i="4" s="1"/>
  <c r="D25" i="4"/>
  <c r="C25" i="4"/>
  <c r="G31" i="3"/>
  <c r="G32" i="3" s="1"/>
  <c r="G33" i="3" s="1"/>
  <c r="G34" i="3" s="1"/>
  <c r="G7" i="3"/>
  <c r="G8" i="3" s="1"/>
  <c r="G9" i="3" s="1"/>
  <c r="G43" i="2"/>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8" i="2"/>
  <c r="G9" i="2" s="1"/>
  <c r="G10" i="2" s="1"/>
  <c r="D10" i="2" s="1"/>
  <c r="D42" i="2"/>
  <c r="C53" i="2"/>
  <c r="G7" i="1"/>
  <c r="G8" i="1" s="1"/>
  <c r="G9" i="1" s="1"/>
  <c r="C9" i="1" s="1"/>
  <c r="AR39" i="6"/>
  <c r="G37" i="6"/>
  <c r="G38" i="6" s="1"/>
  <c r="G39" i="6" s="1"/>
  <c r="G40" i="6" s="1"/>
  <c r="G41" i="6" s="1"/>
  <c r="D36" i="6"/>
  <c r="C36" i="6"/>
  <c r="G7" i="6"/>
  <c r="G8" i="6" s="1"/>
  <c r="G9" i="6" s="1"/>
  <c r="G10" i="6" s="1"/>
  <c r="G11" i="6" s="1"/>
  <c r="AI12" i="4" l="1"/>
  <c r="D11" i="6"/>
  <c r="C11" i="6"/>
  <c r="D53" i="2"/>
  <c r="D48" i="2"/>
  <c r="C29" i="4"/>
  <c r="C23" i="7"/>
  <c r="D50" i="2"/>
  <c r="C63" i="2"/>
  <c r="C50" i="2"/>
  <c r="D52" i="2"/>
  <c r="G35" i="3"/>
  <c r="G36" i="3" s="1"/>
  <c r="G37" i="3" s="1"/>
  <c r="C34" i="3"/>
  <c r="D34" i="3"/>
  <c r="D9" i="4"/>
  <c r="G10" i="4"/>
  <c r="D9" i="1"/>
  <c r="G10" i="1"/>
  <c r="G33" i="4"/>
  <c r="C33" i="4" s="1"/>
  <c r="D41" i="6"/>
  <c r="C41" i="6"/>
  <c r="G42" i="6"/>
  <c r="C9" i="7"/>
  <c r="F10" i="7"/>
  <c r="C49" i="2"/>
  <c r="D49" i="2"/>
  <c r="G10" i="3"/>
  <c r="D31" i="4"/>
  <c r="C48" i="2"/>
  <c r="C47" i="2"/>
  <c r="D47" i="2"/>
  <c r="D29" i="4"/>
  <c r="C46" i="2"/>
  <c r="D46" i="2"/>
  <c r="C28" i="4"/>
  <c r="D45" i="2"/>
  <c r="D33" i="3"/>
  <c r="D67" i="2"/>
  <c r="C66" i="2"/>
  <c r="D66" i="2"/>
  <c r="D65" i="2"/>
  <c r="D63" i="2"/>
  <c r="C62" i="2"/>
  <c r="D62" i="2"/>
  <c r="D9" i="3"/>
  <c r="C61" i="2"/>
  <c r="D61" i="2"/>
  <c r="C25" i="7"/>
  <c r="D59" i="2"/>
  <c r="C57" i="2"/>
  <c r="D57" i="2"/>
  <c r="D28" i="4"/>
  <c r="C56" i="2"/>
  <c r="D56" i="2"/>
  <c r="C33" i="3"/>
  <c r="C55" i="2"/>
  <c r="D55" i="2"/>
  <c r="C54" i="2"/>
  <c r="D54" i="2"/>
  <c r="G11" i="2"/>
  <c r="D11" i="2" s="1"/>
  <c r="G12" i="6"/>
  <c r="AU38" i="3"/>
  <c r="AU12" i="3"/>
  <c r="AU13" i="3"/>
  <c r="AU11" i="3"/>
  <c r="AU10" i="3"/>
  <c r="AU9" i="3"/>
  <c r="AU17" i="3"/>
  <c r="AI16" i="4"/>
  <c r="AI15" i="4"/>
  <c r="AI14" i="4"/>
  <c r="AU15" i="3" l="1"/>
  <c r="E48" i="2"/>
  <c r="AI18" i="4"/>
  <c r="E55" i="2"/>
  <c r="E57" i="2"/>
  <c r="E47" i="2"/>
  <c r="C36" i="3"/>
  <c r="E33" i="3"/>
  <c r="C35" i="3"/>
  <c r="D35" i="3"/>
  <c r="D42" i="6"/>
  <c r="C42" i="6"/>
  <c r="C39" i="6" s="1"/>
  <c r="G43" i="6"/>
  <c r="F11" i="7"/>
  <c r="C10" i="7"/>
  <c r="G34" i="4"/>
  <c r="D33" i="4"/>
  <c r="G13" i="6"/>
  <c r="C12" i="6"/>
  <c r="D12" i="6"/>
  <c r="C10" i="1"/>
  <c r="D10" i="1"/>
  <c r="G11" i="1"/>
  <c r="G11" i="4"/>
  <c r="D10" i="4"/>
  <c r="G11" i="3"/>
  <c r="D10" i="3"/>
  <c r="G38" i="3"/>
  <c r="C11" i="2"/>
  <c r="G12" i="2"/>
  <c r="D12" i="2" s="1"/>
  <c r="D39" i="6" l="1"/>
  <c r="G14" i="6"/>
  <c r="C13" i="6"/>
  <c r="D13" i="6"/>
  <c r="G12" i="3"/>
  <c r="D11" i="3"/>
  <c r="D11" i="1"/>
  <c r="C11" i="1"/>
  <c r="G12" i="1"/>
  <c r="G13" i="1" s="1"/>
  <c r="G35" i="4"/>
  <c r="D34" i="4"/>
  <c r="C34" i="4"/>
  <c r="G44" i="6"/>
  <c r="C43" i="6"/>
  <c r="D43" i="6"/>
  <c r="C11" i="7"/>
  <c r="F12" i="7"/>
  <c r="G12" i="4"/>
  <c r="G39" i="3"/>
  <c r="C12" i="2"/>
  <c r="G13" i="2"/>
  <c r="D13" i="2" s="1"/>
  <c r="E11" i="1" l="1"/>
  <c r="G36" i="4"/>
  <c r="C35" i="4"/>
  <c r="D35" i="4"/>
  <c r="D13" i="1"/>
  <c r="G14" i="1"/>
  <c r="G13" i="3"/>
  <c r="D12" i="3"/>
  <c r="G13" i="4"/>
  <c r="D12" i="4"/>
  <c r="F13" i="7"/>
  <c r="G45" i="6"/>
  <c r="G46" i="6" s="1"/>
  <c r="C44" i="6"/>
  <c r="D44" i="6"/>
  <c r="G40" i="3"/>
  <c r="G15" i="6"/>
  <c r="C13" i="2"/>
  <c r="G14" i="2"/>
  <c r="D14" i="2" s="1"/>
  <c r="G41" i="3" l="1"/>
  <c r="C40" i="3"/>
  <c r="D40" i="3"/>
  <c r="D46" i="6"/>
  <c r="G47" i="6"/>
  <c r="G48" i="6" s="1"/>
  <c r="G14" i="4"/>
  <c r="C14" i="1"/>
  <c r="D14" i="1"/>
  <c r="G15" i="1"/>
  <c r="G16" i="6"/>
  <c r="G17" i="6" s="1"/>
  <c r="D17" i="6" s="1"/>
  <c r="C15" i="6"/>
  <c r="D15" i="6"/>
  <c r="G14" i="3"/>
  <c r="G37" i="4"/>
  <c r="C14" i="2"/>
  <c r="G15" i="2"/>
  <c r="D15" i="2" s="1"/>
  <c r="AT25" i="7"/>
  <c r="AT27" i="7" s="1"/>
  <c r="AT11" i="7"/>
  <c r="E40" i="3" l="1"/>
  <c r="G15" i="3"/>
  <c r="G18" i="6"/>
  <c r="D14" i="4"/>
  <c r="G15" i="4"/>
  <c r="D48" i="6"/>
  <c r="G49" i="6"/>
  <c r="C48" i="6"/>
  <c r="D15" i="1"/>
  <c r="G16" i="1"/>
  <c r="C15" i="1"/>
  <c r="D37" i="4"/>
  <c r="G42" i="3"/>
  <c r="C15" i="2"/>
  <c r="E15" i="2" s="1"/>
  <c r="G16" i="2"/>
  <c r="AH31" i="4"/>
  <c r="E48" i="6" l="1"/>
  <c r="G43" i="3"/>
  <c r="C42" i="3"/>
  <c r="D42" i="3"/>
  <c r="D49" i="6"/>
  <c r="C49" i="6"/>
  <c r="G50" i="6"/>
  <c r="D15" i="4"/>
  <c r="G16" i="4"/>
  <c r="D16" i="1"/>
  <c r="G17" i="1"/>
  <c r="C16" i="1"/>
  <c r="G19" i="6"/>
  <c r="G16" i="3"/>
  <c r="G17" i="2"/>
  <c r="D17" i="2" s="1"/>
  <c r="AH12" i="4"/>
  <c r="AH37" i="4"/>
  <c r="AI37" i="4"/>
  <c r="AT15" i="3"/>
  <c r="AP46" i="3"/>
  <c r="AP23" i="3" s="1"/>
  <c r="G17" i="3" l="1"/>
  <c r="D17" i="1"/>
  <c r="G18" i="1"/>
  <c r="C17" i="1"/>
  <c r="D16" i="4"/>
  <c r="G17" i="4"/>
  <c r="D50" i="6"/>
  <c r="G51" i="6"/>
  <c r="C50" i="6"/>
  <c r="G20" i="6"/>
  <c r="D20" i="6" s="1"/>
  <c r="D19" i="6"/>
  <c r="C19" i="6"/>
  <c r="G44" i="3"/>
  <c r="G18" i="2"/>
  <c r="D18" i="2" s="1"/>
  <c r="AU45" i="2"/>
  <c r="AG21" i="1"/>
  <c r="AG27" i="1" s="1"/>
  <c r="AH21" i="1"/>
  <c r="AH27" i="1" s="1"/>
  <c r="AI21" i="1"/>
  <c r="AI27" i="1" s="1"/>
  <c r="D9" i="6"/>
  <c r="AS24" i="6"/>
  <c r="AT24" i="6"/>
  <c r="AU24" i="6"/>
  <c r="AS9" i="6"/>
  <c r="AT9" i="6"/>
  <c r="AU9" i="6"/>
  <c r="AR29" i="6"/>
  <c r="AS29" i="6"/>
  <c r="AT29" i="6"/>
  <c r="AU29" i="6"/>
  <c r="AU20" i="6"/>
  <c r="G45" i="3" l="1"/>
  <c r="D44" i="3"/>
  <c r="G21" i="6"/>
  <c r="G18" i="4"/>
  <c r="D18" i="4" s="1"/>
  <c r="D17" i="3"/>
  <c r="G18" i="3"/>
  <c r="D51" i="6"/>
  <c r="D18" i="1"/>
  <c r="G19" i="1"/>
  <c r="C18" i="1"/>
  <c r="C18" i="2"/>
  <c r="G19" i="2"/>
  <c r="D19" i="2" s="1"/>
  <c r="C9" i="6"/>
  <c r="D19" i="1" l="1"/>
  <c r="G20" i="1"/>
  <c r="G21" i="1" s="1"/>
  <c r="C19" i="1"/>
  <c r="G19" i="3"/>
  <c r="G46" i="3"/>
  <c r="G22" i="6"/>
  <c r="C21" i="6"/>
  <c r="D21" i="6"/>
  <c r="G20" i="2"/>
  <c r="D20" i="2" s="1"/>
  <c r="C19" i="2"/>
  <c r="AS23" i="7"/>
  <c r="B23" i="7" s="1"/>
  <c r="AS9" i="7"/>
  <c r="AS11" i="7" s="1"/>
  <c r="G23" i="6" l="1"/>
  <c r="D22" i="6"/>
  <c r="C22" i="6"/>
  <c r="G47" i="3"/>
  <c r="D46" i="3"/>
  <c r="G22" i="1"/>
  <c r="G23" i="1" s="1"/>
  <c r="D21" i="1"/>
  <c r="D19" i="3"/>
  <c r="G20" i="3"/>
  <c r="G21" i="2"/>
  <c r="D21" i="2" s="1"/>
  <c r="C20" i="2"/>
  <c r="C18" i="12"/>
  <c r="G21" i="3" l="1"/>
  <c r="C23" i="1"/>
  <c r="D23" i="1"/>
  <c r="G24" i="1"/>
  <c r="D47" i="3"/>
  <c r="G24" i="6"/>
  <c r="D23" i="6"/>
  <c r="C23" i="6"/>
  <c r="G22" i="2"/>
  <c r="D22" i="2" s="1"/>
  <c r="C21" i="2"/>
  <c r="G25" i="6" l="1"/>
  <c r="D24" i="6"/>
  <c r="D21" i="3"/>
  <c r="G22" i="3"/>
  <c r="D24" i="1"/>
  <c r="G25" i="1"/>
  <c r="C24" i="1"/>
  <c r="G23" i="2"/>
  <c r="D23" i="2" s="1"/>
  <c r="C22" i="2"/>
  <c r="AP15" i="3"/>
  <c r="C25" i="1" l="1"/>
  <c r="D25" i="1"/>
  <c r="G26" i="1"/>
  <c r="G27" i="1" s="1"/>
  <c r="G23" i="3"/>
  <c r="G26" i="6"/>
  <c r="C25" i="6"/>
  <c r="D25" i="6"/>
  <c r="G24" i="2"/>
  <c r="C23" i="2"/>
  <c r="D23" i="3" l="1"/>
  <c r="G27" i="6"/>
  <c r="C26" i="6"/>
  <c r="D26" i="6"/>
  <c r="G28" i="1"/>
  <c r="D27" i="1"/>
  <c r="G25" i="2"/>
  <c r="D25" i="2" s="1"/>
  <c r="AS25" i="7"/>
  <c r="E26" i="6" l="1"/>
  <c r="G29" i="1"/>
  <c r="C28" i="1"/>
  <c r="D28" i="1"/>
  <c r="G28" i="6"/>
  <c r="C27" i="6"/>
  <c r="D27" i="6"/>
  <c r="G26" i="2"/>
  <c r="AS27" i="7"/>
  <c r="C38" i="12"/>
  <c r="C14" i="12"/>
  <c r="C30" i="12" l="1"/>
  <c r="G29" i="6"/>
  <c r="G30" i="1"/>
  <c r="G31" i="1" s="1"/>
  <c r="D29" i="1"/>
  <c r="G27" i="2"/>
  <c r="D27" i="2" s="1"/>
  <c r="C39" i="12"/>
  <c r="C41" i="12" s="1"/>
  <c r="AS10" i="2"/>
  <c r="AS25" i="2" s="1"/>
  <c r="AS31" i="2" s="1"/>
  <c r="AG37" i="4"/>
  <c r="AG31" i="4"/>
  <c r="AG16" i="4"/>
  <c r="C16" i="4" s="1"/>
  <c r="AG15" i="4"/>
  <c r="AG14" i="4"/>
  <c r="AG10" i="4"/>
  <c r="AG9" i="4"/>
  <c r="AS19" i="3"/>
  <c r="AS17" i="3"/>
  <c r="AS33" i="2" l="1"/>
  <c r="C25" i="2"/>
  <c r="G32" i="1"/>
  <c r="C31" i="1"/>
  <c r="D31" i="1"/>
  <c r="C29" i="6"/>
  <c r="D29" i="6"/>
  <c r="C27" i="2"/>
  <c r="G28" i="2"/>
  <c r="D28" i="2" s="1"/>
  <c r="AS21" i="3"/>
  <c r="AG12" i="4"/>
  <c r="AG18" i="4"/>
  <c r="AS15" i="3"/>
  <c r="AO29" i="6"/>
  <c r="AR10" i="7"/>
  <c r="B10" i="7" s="1"/>
  <c r="AR9" i="7"/>
  <c r="B9" i="7" s="1"/>
  <c r="AS59" i="2"/>
  <c r="AS65" i="2" s="1"/>
  <c r="AS67" i="2" s="1"/>
  <c r="AR25" i="7"/>
  <c r="AR11" i="7" s="1"/>
  <c r="E31" i="1" l="1"/>
  <c r="AT12" i="7"/>
  <c r="AT13" i="7" s="1"/>
  <c r="AU12" i="7"/>
  <c r="AU13" i="7" s="1"/>
  <c r="C13" i="7" s="1"/>
  <c r="AU26" i="7"/>
  <c r="C27" i="7"/>
  <c r="C26" i="7"/>
  <c r="C12" i="7"/>
  <c r="G33" i="1"/>
  <c r="C32" i="1"/>
  <c r="D32" i="1"/>
  <c r="G29" i="2"/>
  <c r="D29" i="2" s="1"/>
  <c r="C28" i="2"/>
  <c r="AQ11" i="7"/>
  <c r="AM9" i="7"/>
  <c r="AM10" i="7"/>
  <c r="AM12" i="7"/>
  <c r="AR17" i="3"/>
  <c r="C17" i="3" s="1"/>
  <c r="E17" i="3" s="1"/>
  <c r="AR19" i="3"/>
  <c r="C19" i="3" s="1"/>
  <c r="E19" i="3" s="1"/>
  <c r="AR44" i="3"/>
  <c r="C52" i="2"/>
  <c r="E52" i="2" s="1"/>
  <c r="AR45" i="2"/>
  <c r="C45" i="2" s="1"/>
  <c r="E45" i="2" s="1"/>
  <c r="E63" i="2"/>
  <c r="E61" i="2"/>
  <c r="E23" i="2"/>
  <c r="AP20" i="6"/>
  <c r="AP24" i="6"/>
  <c r="AR20" i="6"/>
  <c r="C20" i="6" s="1"/>
  <c r="AR24" i="6"/>
  <c r="C24" i="6" s="1"/>
  <c r="A7" i="6"/>
  <c r="A8" i="6" s="1"/>
  <c r="A9" i="6" s="1"/>
  <c r="AQ25" i="7"/>
  <c r="AF15" i="4"/>
  <c r="C15" i="4" s="1"/>
  <c r="AF14" i="4"/>
  <c r="C14" i="4" s="1"/>
  <c r="C10" i="4"/>
  <c r="C9" i="4"/>
  <c r="AF37" i="4"/>
  <c r="C37" i="4" s="1"/>
  <c r="AF31" i="4"/>
  <c r="C31" i="4" s="1"/>
  <c r="C9" i="3"/>
  <c r="E9" i="3" s="1"/>
  <c r="C10" i="3"/>
  <c r="E10" i="3" s="1"/>
  <c r="C11" i="3"/>
  <c r="C12" i="3"/>
  <c r="E12" i="3" s="1"/>
  <c r="C13" i="3"/>
  <c r="AR38" i="3"/>
  <c r="C38" i="3" s="1"/>
  <c r="AQ38" i="3"/>
  <c r="AQ15" i="3"/>
  <c r="AQ31" i="2"/>
  <c r="AQ33" i="2" s="1"/>
  <c r="AS12" i="7" s="1"/>
  <c r="AS13" i="7" s="1"/>
  <c r="AQ52" i="2"/>
  <c r="AQ45" i="2"/>
  <c r="AP45" i="2"/>
  <c r="C17" i="2"/>
  <c r="AQ17" i="2"/>
  <c r="AR10" i="2"/>
  <c r="C10" i="2" s="1"/>
  <c r="AQ10" i="2"/>
  <c r="AF37" i="1"/>
  <c r="AE37" i="1"/>
  <c r="AD37" i="1"/>
  <c r="AF13" i="1"/>
  <c r="C13" i="1" s="1"/>
  <c r="AF9" i="1"/>
  <c r="AE13" i="1"/>
  <c r="AE21" i="1" s="1"/>
  <c r="AD13" i="1"/>
  <c r="C51" i="6"/>
  <c r="AR46" i="6"/>
  <c r="C46" i="6" s="1"/>
  <c r="AR9" i="6"/>
  <c r="AQ9" i="6"/>
  <c r="AE18" i="4"/>
  <c r="AP25" i="7"/>
  <c r="AP27" i="7" s="1"/>
  <c r="AP11" i="7"/>
  <c r="AP13" i="7" s="1"/>
  <c r="AQ29" i="6"/>
  <c r="AE37" i="4"/>
  <c r="AE31" i="4"/>
  <c r="AE12" i="4"/>
  <c r="AQ51" i="6"/>
  <c r="AL15" i="2"/>
  <c r="AM10" i="2"/>
  <c r="AO10" i="2"/>
  <c r="AP10" i="2"/>
  <c r="AL10" i="2"/>
  <c r="AP38" i="3"/>
  <c r="AO25" i="7"/>
  <c r="AO11" i="7"/>
  <c r="AO13" i="7" s="1"/>
  <c r="AD37" i="4"/>
  <c r="AD31" i="4"/>
  <c r="AD12" i="4"/>
  <c r="AD18" i="4"/>
  <c r="AP52" i="2"/>
  <c r="AP31" i="2"/>
  <c r="AP33" i="2" s="1"/>
  <c r="AP17" i="2"/>
  <c r="AD9" i="1"/>
  <c r="AP51" i="6"/>
  <c r="AP46" i="6"/>
  <c r="AP29" i="6"/>
  <c r="AC37" i="4"/>
  <c r="AC31" i="4"/>
  <c r="AC18" i="4"/>
  <c r="AC12" i="4"/>
  <c r="AO47" i="3"/>
  <c r="AO21" i="3"/>
  <c r="AO23" i="3" s="1"/>
  <c r="AO19" i="3"/>
  <c r="AO9" i="3"/>
  <c r="AO10" i="3"/>
  <c r="AO11" i="3"/>
  <c r="AO13" i="3"/>
  <c r="AO38" i="3"/>
  <c r="AO52" i="2"/>
  <c r="AO45" i="2"/>
  <c r="AO31" i="2"/>
  <c r="AO33" i="2" s="1"/>
  <c r="AO17" i="2"/>
  <c r="AC37" i="1"/>
  <c r="AC13" i="1"/>
  <c r="AC9" i="1"/>
  <c r="AO51" i="6"/>
  <c r="AO46" i="6"/>
  <c r="AO39" i="6"/>
  <c r="AO24" i="6"/>
  <c r="AO20" i="6"/>
  <c r="AO9" i="6"/>
  <c r="AM25" i="7"/>
  <c r="AM27" i="7" s="1"/>
  <c r="AB16" i="4"/>
  <c r="AB15" i="4"/>
  <c r="AB14" i="4"/>
  <c r="AB10" i="4"/>
  <c r="AB9" i="4"/>
  <c r="AB31" i="4"/>
  <c r="AB37" i="4"/>
  <c r="AN47" i="3"/>
  <c r="AN21" i="3"/>
  <c r="AN23" i="3" s="1"/>
  <c r="AN19" i="3"/>
  <c r="AN17" i="3"/>
  <c r="AM17" i="3"/>
  <c r="AN38" i="3"/>
  <c r="AN13" i="3"/>
  <c r="AN11" i="3"/>
  <c r="AN10" i="3"/>
  <c r="AN9" i="3"/>
  <c r="AN52" i="2"/>
  <c r="AN45" i="2"/>
  <c r="AN31" i="2"/>
  <c r="AN17" i="2"/>
  <c r="AB37" i="1"/>
  <c r="AB13" i="1"/>
  <c r="AB9" i="1"/>
  <c r="AN51" i="6"/>
  <c r="AN46" i="6"/>
  <c r="AN39" i="6"/>
  <c r="AN29" i="6"/>
  <c r="AM29" i="6"/>
  <c r="AN20" i="6"/>
  <c r="AM20" i="6"/>
  <c r="AN24" i="6"/>
  <c r="AN9" i="6"/>
  <c r="AM13" i="3"/>
  <c r="AL12" i="7"/>
  <c r="AL10" i="7"/>
  <c r="AL9" i="7"/>
  <c r="AL25" i="7"/>
  <c r="AL27" i="7" s="1"/>
  <c r="AA16" i="4"/>
  <c r="AA15" i="4"/>
  <c r="AA14" i="4"/>
  <c r="AA10" i="4"/>
  <c r="AA9" i="4"/>
  <c r="AA37" i="4"/>
  <c r="AA31" i="4"/>
  <c r="AM19" i="3"/>
  <c r="AM11" i="3"/>
  <c r="AM10" i="3"/>
  <c r="AM9" i="3"/>
  <c r="AM44" i="3"/>
  <c r="AM21" i="3" s="1"/>
  <c r="AM38" i="3"/>
  <c r="AK9" i="3"/>
  <c r="AK10" i="3"/>
  <c r="AK11" i="3"/>
  <c r="AK13" i="3"/>
  <c r="AL9" i="3"/>
  <c r="AL10" i="3"/>
  <c r="AL11" i="3"/>
  <c r="AL13" i="3"/>
  <c r="AI28" i="2"/>
  <c r="AI18" i="2"/>
  <c r="AI23" i="2"/>
  <c r="AM27" i="2"/>
  <c r="AM17" i="2"/>
  <c r="AM52" i="2"/>
  <c r="AM45" i="2"/>
  <c r="AA37" i="1"/>
  <c r="AA13" i="1"/>
  <c r="AA9" i="1"/>
  <c r="AM51" i="6"/>
  <c r="AM46" i="6"/>
  <c r="AM39" i="6"/>
  <c r="AM24" i="6"/>
  <c r="AM9" i="6"/>
  <c r="AK10" i="7"/>
  <c r="AK9" i="7"/>
  <c r="Z37" i="4"/>
  <c r="Z16" i="4"/>
  <c r="Z9" i="4"/>
  <c r="AL19" i="3"/>
  <c r="AL17" i="3"/>
  <c r="AL29" i="2"/>
  <c r="AL28" i="2"/>
  <c r="AL27" i="2"/>
  <c r="AK25" i="7"/>
  <c r="AK11" i="7" s="1"/>
  <c r="E35" i="4"/>
  <c r="Z15" i="4"/>
  <c r="Z14" i="4"/>
  <c r="Z10" i="4"/>
  <c r="Z31" i="4"/>
  <c r="AL44" i="3"/>
  <c r="AL46" i="3" s="1"/>
  <c r="AL38" i="3"/>
  <c r="AG29" i="2"/>
  <c r="AG28" i="2"/>
  <c r="AG27" i="2"/>
  <c r="AH29" i="2"/>
  <c r="AH28" i="2"/>
  <c r="AH27" i="2"/>
  <c r="AG23" i="2"/>
  <c r="AG20" i="2"/>
  <c r="AG19" i="2"/>
  <c r="AG18" i="2"/>
  <c r="AH23" i="2"/>
  <c r="AH21" i="2"/>
  <c r="AH20" i="2"/>
  <c r="AH19" i="2"/>
  <c r="AH18" i="2"/>
  <c r="AK29" i="2"/>
  <c r="AK28" i="2"/>
  <c r="AK27" i="2"/>
  <c r="AK23" i="2"/>
  <c r="AK21" i="2"/>
  <c r="AK20" i="2"/>
  <c r="AK19" i="2"/>
  <c r="AK18" i="2"/>
  <c r="AL52" i="2"/>
  <c r="AL45" i="2"/>
  <c r="Z37" i="1"/>
  <c r="Z13" i="1"/>
  <c r="Z9" i="1"/>
  <c r="AL51" i="6"/>
  <c r="AL46" i="6"/>
  <c r="AL39" i="6"/>
  <c r="AL29" i="6"/>
  <c r="AL24" i="6"/>
  <c r="AL20" i="6"/>
  <c r="AL9" i="6"/>
  <c r="AL17" i="2"/>
  <c r="AJ10" i="7"/>
  <c r="AJ9" i="7"/>
  <c r="AJ25" i="7"/>
  <c r="AJ27" i="7" s="1"/>
  <c r="Y16" i="4"/>
  <c r="Y15" i="4"/>
  <c r="Y14" i="4"/>
  <c r="Y10" i="4"/>
  <c r="Y9" i="4"/>
  <c r="Y37" i="4"/>
  <c r="Y31" i="4"/>
  <c r="AK19" i="3"/>
  <c r="AG15" i="3"/>
  <c r="AK17" i="3"/>
  <c r="AK44" i="3"/>
  <c r="AK47" i="3" s="1"/>
  <c r="AK38" i="3"/>
  <c r="AG17" i="3"/>
  <c r="AG21" i="3" s="1"/>
  <c r="AK15" i="2"/>
  <c r="AK14" i="2"/>
  <c r="AK13" i="2"/>
  <c r="AK12" i="2"/>
  <c r="AK11" i="2"/>
  <c r="AK52" i="2"/>
  <c r="AK45" i="2"/>
  <c r="Y37" i="1"/>
  <c r="Y13" i="1"/>
  <c r="Y9" i="1"/>
  <c r="AK51" i="6"/>
  <c r="AH46" i="6"/>
  <c r="AI46" i="6"/>
  <c r="AJ46" i="6"/>
  <c r="AK46" i="6"/>
  <c r="AH39" i="6"/>
  <c r="AI39" i="6"/>
  <c r="AJ39" i="6"/>
  <c r="AK39" i="6"/>
  <c r="AK24" i="6"/>
  <c r="AK29" i="6"/>
  <c r="AH24" i="6"/>
  <c r="AI24" i="6"/>
  <c r="AJ24" i="6"/>
  <c r="AH20" i="6"/>
  <c r="AI20" i="6"/>
  <c r="AJ20" i="6"/>
  <c r="AK20" i="6"/>
  <c r="AH9" i="6"/>
  <c r="AI9" i="6"/>
  <c r="AJ9" i="6"/>
  <c r="AK9" i="6"/>
  <c r="AI21" i="3"/>
  <c r="AI23" i="3"/>
  <c r="AI47" i="3"/>
  <c r="S47" i="3"/>
  <c r="T47" i="3"/>
  <c r="R47" i="3"/>
  <c r="Q47" i="3"/>
  <c r="AI12" i="7"/>
  <c r="AI10" i="7"/>
  <c r="AI9" i="7"/>
  <c r="X16" i="4"/>
  <c r="X15" i="4"/>
  <c r="X14" i="4"/>
  <c r="X10" i="4"/>
  <c r="X9" i="4"/>
  <c r="X37" i="4"/>
  <c r="X31" i="4"/>
  <c r="AJ19" i="3"/>
  <c r="AJ17" i="3"/>
  <c r="AJ13" i="3"/>
  <c r="AJ11" i="3"/>
  <c r="AJ10" i="3"/>
  <c r="AJ9" i="3"/>
  <c r="AJ44" i="3"/>
  <c r="AJ47" i="3" s="1"/>
  <c r="AJ46" i="3" s="1"/>
  <c r="AJ23" i="3" s="1"/>
  <c r="AJ38" i="3"/>
  <c r="AJ29" i="2"/>
  <c r="AJ28" i="2"/>
  <c r="AJ27" i="2"/>
  <c r="AJ22" i="2"/>
  <c r="AJ23" i="2"/>
  <c r="AJ20" i="2"/>
  <c r="AJ19" i="2"/>
  <c r="AJ18" i="2"/>
  <c r="AJ15" i="2"/>
  <c r="AJ13" i="2"/>
  <c r="AJ12" i="2"/>
  <c r="AJ11" i="2"/>
  <c r="AJ52" i="2"/>
  <c r="AJ45" i="2"/>
  <c r="U37" i="1"/>
  <c r="V37" i="1"/>
  <c r="W37" i="1"/>
  <c r="X37" i="1"/>
  <c r="U13" i="1"/>
  <c r="V13" i="1"/>
  <c r="W13" i="1"/>
  <c r="X13" i="1"/>
  <c r="X9" i="1"/>
  <c r="AJ51" i="6"/>
  <c r="AJ29" i="6"/>
  <c r="AB52" i="2"/>
  <c r="AB21" i="2"/>
  <c r="AB23" i="2"/>
  <c r="AB20" i="2"/>
  <c r="AB19" i="2"/>
  <c r="AB18" i="2"/>
  <c r="AB15" i="2"/>
  <c r="AB13" i="2"/>
  <c r="AB12" i="2"/>
  <c r="AB11" i="2"/>
  <c r="AD20" i="2"/>
  <c r="AD19" i="2"/>
  <c r="AD23" i="2"/>
  <c r="AD18" i="2"/>
  <c r="AE9" i="3"/>
  <c r="AI11" i="2"/>
  <c r="AH10" i="7"/>
  <c r="AH9" i="7"/>
  <c r="W37" i="4"/>
  <c r="W16" i="4"/>
  <c r="W15" i="4"/>
  <c r="W14" i="4"/>
  <c r="W10" i="4"/>
  <c r="W9" i="4"/>
  <c r="W31" i="4"/>
  <c r="AI17" i="3"/>
  <c r="AI10" i="3"/>
  <c r="AI13" i="3"/>
  <c r="AI11" i="3"/>
  <c r="AI9" i="3"/>
  <c r="AI38" i="3"/>
  <c r="AH17" i="3"/>
  <c r="AH21" i="3" s="1"/>
  <c r="AI29" i="2"/>
  <c r="AI27" i="2"/>
  <c r="AI20" i="2"/>
  <c r="AI19" i="2"/>
  <c r="AI15" i="2"/>
  <c r="AI13" i="2"/>
  <c r="AI12" i="2"/>
  <c r="AI52" i="2"/>
  <c r="AI45" i="2"/>
  <c r="W9" i="1"/>
  <c r="AI51" i="6"/>
  <c r="AI29" i="6"/>
  <c r="AG10" i="7"/>
  <c r="AG9" i="7"/>
  <c r="AG25" i="7"/>
  <c r="V16" i="4"/>
  <c r="V15" i="4"/>
  <c r="V14" i="4"/>
  <c r="V10" i="4"/>
  <c r="V9" i="4"/>
  <c r="V37" i="4"/>
  <c r="V31" i="4"/>
  <c r="AH46" i="3"/>
  <c r="AH13" i="3"/>
  <c r="AH11" i="3"/>
  <c r="AH10" i="3"/>
  <c r="AH9" i="3"/>
  <c r="AH38" i="3"/>
  <c r="AH15" i="2"/>
  <c r="AH13" i="2"/>
  <c r="AH12" i="2"/>
  <c r="AH11" i="2"/>
  <c r="AH52" i="2"/>
  <c r="AH45" i="2"/>
  <c r="V9" i="1"/>
  <c r="AH51" i="6"/>
  <c r="AH29" i="6"/>
  <c r="U46" i="3"/>
  <c r="U21" i="3"/>
  <c r="V46" i="3"/>
  <c r="W46" i="3"/>
  <c r="X46" i="3"/>
  <c r="Y46" i="3"/>
  <c r="Z46" i="3"/>
  <c r="AA46" i="3"/>
  <c r="V21" i="3"/>
  <c r="W21" i="3"/>
  <c r="X21" i="3"/>
  <c r="Y21" i="3"/>
  <c r="Z21" i="3"/>
  <c r="AA21" i="3"/>
  <c r="AD21" i="3"/>
  <c r="AF21" i="3"/>
  <c r="AF23" i="2"/>
  <c r="AF21" i="2"/>
  <c r="AF20" i="2"/>
  <c r="AF19" i="2"/>
  <c r="AF18" i="2"/>
  <c r="AF15" i="2"/>
  <c r="AF14" i="2"/>
  <c r="AF13" i="2"/>
  <c r="AF12" i="2"/>
  <c r="AF11" i="2"/>
  <c r="R46" i="3"/>
  <c r="S46" i="3"/>
  <c r="T46" i="3"/>
  <c r="Q46" i="3"/>
  <c r="AG12" i="2"/>
  <c r="AG11" i="2"/>
  <c r="AG13" i="2"/>
  <c r="AG39" i="6"/>
  <c r="AF10" i="7"/>
  <c r="AF9" i="7"/>
  <c r="AF25" i="7"/>
  <c r="AF27" i="7" s="1"/>
  <c r="U16" i="4"/>
  <c r="U15" i="4"/>
  <c r="U14" i="4"/>
  <c r="U10" i="4"/>
  <c r="U9" i="4"/>
  <c r="U37" i="4"/>
  <c r="U31" i="4"/>
  <c r="AC17" i="3"/>
  <c r="AC21" i="3" s="1"/>
  <c r="AC13" i="3"/>
  <c r="AC11" i="3"/>
  <c r="AC10" i="3"/>
  <c r="AC9" i="3"/>
  <c r="AD44" i="3"/>
  <c r="AD46" i="3" s="1"/>
  <c r="AE44" i="3"/>
  <c r="AE46" i="3" s="1"/>
  <c r="AF44" i="3"/>
  <c r="AF46" i="3" s="1"/>
  <c r="AG44" i="3"/>
  <c r="AG46" i="3" s="1"/>
  <c r="AD38" i="3"/>
  <c r="AE38" i="3"/>
  <c r="AF38" i="3"/>
  <c r="AG38" i="3"/>
  <c r="AD15" i="3"/>
  <c r="AC29" i="2"/>
  <c r="AC28" i="2"/>
  <c r="AC27" i="2"/>
  <c r="AC23" i="2"/>
  <c r="AC21" i="2"/>
  <c r="AC20" i="2"/>
  <c r="AC19" i="2"/>
  <c r="AC18" i="2"/>
  <c r="AE17" i="2"/>
  <c r="AG15" i="2"/>
  <c r="AG14" i="2"/>
  <c r="AC15" i="2"/>
  <c r="AC13" i="2"/>
  <c r="AC14" i="2"/>
  <c r="AC12" i="2"/>
  <c r="AC11" i="2"/>
  <c r="AD10" i="2"/>
  <c r="AE10" i="2"/>
  <c r="AG52" i="2"/>
  <c r="AG45" i="2"/>
  <c r="R37" i="1"/>
  <c r="S37" i="1"/>
  <c r="T37" i="1"/>
  <c r="R13" i="1"/>
  <c r="S13" i="1"/>
  <c r="T13" i="1"/>
  <c r="R9" i="1"/>
  <c r="S9" i="1"/>
  <c r="T9" i="1"/>
  <c r="U9" i="1"/>
  <c r="AD51" i="6"/>
  <c r="AE51" i="6"/>
  <c r="AF51" i="6"/>
  <c r="AG51" i="6"/>
  <c r="AD46" i="6"/>
  <c r="AE46" i="6"/>
  <c r="AF46" i="6"/>
  <c r="AG46" i="6"/>
  <c r="AG29" i="6"/>
  <c r="AG24" i="6"/>
  <c r="AG20" i="6"/>
  <c r="AG9" i="6"/>
  <c r="P9" i="1"/>
  <c r="AE25" i="7"/>
  <c r="AE11" i="7"/>
  <c r="U25" i="7"/>
  <c r="AD25" i="7"/>
  <c r="T37" i="4"/>
  <c r="T31" i="4"/>
  <c r="AF52" i="2"/>
  <c r="T12" i="4"/>
  <c r="AF15" i="3"/>
  <c r="T18" i="4"/>
  <c r="AF45" i="2"/>
  <c r="AF39" i="6"/>
  <c r="AF20" i="6"/>
  <c r="AF29" i="6"/>
  <c r="AF24" i="6"/>
  <c r="AF9" i="6"/>
  <c r="U29" i="6"/>
  <c r="AE17" i="3"/>
  <c r="AE21" i="3" s="1"/>
  <c r="O10" i="1"/>
  <c r="O9" i="1" s="1"/>
  <c r="AD10" i="7"/>
  <c r="AD9" i="7"/>
  <c r="S16" i="4"/>
  <c r="S15" i="4"/>
  <c r="S14" i="4"/>
  <c r="S10" i="4"/>
  <c r="S9" i="4"/>
  <c r="S37" i="4"/>
  <c r="S31" i="4"/>
  <c r="AE13" i="3"/>
  <c r="AE11" i="3"/>
  <c r="AE10" i="3"/>
  <c r="AE52" i="2"/>
  <c r="AE45" i="2"/>
  <c r="AE39" i="6"/>
  <c r="AE29" i="6"/>
  <c r="AE24" i="6"/>
  <c r="AE20" i="6"/>
  <c r="AE9" i="6"/>
  <c r="AC25" i="7"/>
  <c r="R18" i="4"/>
  <c r="R12" i="4"/>
  <c r="R37" i="4"/>
  <c r="R31" i="4"/>
  <c r="AD52" i="2"/>
  <c r="AD45" i="2"/>
  <c r="Z9" i="6"/>
  <c r="AD39" i="6"/>
  <c r="AD29" i="6"/>
  <c r="AD24" i="6"/>
  <c r="AD20" i="6"/>
  <c r="AD9" i="6"/>
  <c r="Q37" i="1"/>
  <c r="P37" i="1"/>
  <c r="O37" i="1"/>
  <c r="N37" i="1"/>
  <c r="M37" i="1"/>
  <c r="L37" i="1"/>
  <c r="K37" i="1"/>
  <c r="J37" i="1"/>
  <c r="I37" i="1"/>
  <c r="Q13" i="1"/>
  <c r="P13" i="1"/>
  <c r="O13" i="1"/>
  <c r="N13" i="1"/>
  <c r="M13" i="1"/>
  <c r="L13" i="1"/>
  <c r="K13" i="1"/>
  <c r="J13" i="1"/>
  <c r="I13" i="1"/>
  <c r="Q9" i="1"/>
  <c r="N9" i="1"/>
  <c r="M9" i="1"/>
  <c r="L9" i="1"/>
  <c r="K9" i="1"/>
  <c r="J9" i="1"/>
  <c r="I9" i="1"/>
  <c r="AC46" i="6"/>
  <c r="AB9" i="7"/>
  <c r="AB10" i="7"/>
  <c r="AB25" i="7"/>
  <c r="AB11" i="7" s="1"/>
  <c r="Q16" i="4"/>
  <c r="Q15" i="4"/>
  <c r="Q14" i="4"/>
  <c r="Q10" i="4"/>
  <c r="Q9" i="4"/>
  <c r="Q31" i="4"/>
  <c r="Q37" i="4"/>
  <c r="AC44" i="3"/>
  <c r="AC46" i="3" s="1"/>
  <c r="AC38" i="3"/>
  <c r="AC52" i="2"/>
  <c r="AC45" i="2"/>
  <c r="AC51" i="6"/>
  <c r="AC39" i="6"/>
  <c r="AC29" i="6"/>
  <c r="AC24" i="6"/>
  <c r="AC20" i="6"/>
  <c r="AC9" i="6"/>
  <c r="AA10" i="7"/>
  <c r="AA9" i="7"/>
  <c r="AA27" i="7"/>
  <c r="AA29" i="6"/>
  <c r="P16" i="4"/>
  <c r="P15" i="4"/>
  <c r="P14" i="4"/>
  <c r="P10" i="4"/>
  <c r="P9" i="4"/>
  <c r="AB19" i="3"/>
  <c r="AB12" i="3"/>
  <c r="AB11" i="3"/>
  <c r="AB10" i="3"/>
  <c r="AB9" i="3"/>
  <c r="AB29" i="2"/>
  <c r="AB28" i="2"/>
  <c r="AB27" i="2"/>
  <c r="P31" i="4"/>
  <c r="AB38" i="3"/>
  <c r="AA51" i="6"/>
  <c r="Z29" i="6"/>
  <c r="P37" i="4"/>
  <c r="AB45" i="2"/>
  <c r="AB46" i="6"/>
  <c r="AB51" i="6"/>
  <c r="AB39" i="6"/>
  <c r="AB29" i="6"/>
  <c r="AB24" i="6"/>
  <c r="AB20" i="6"/>
  <c r="AB9" i="6"/>
  <c r="M18" i="4"/>
  <c r="M12" i="4"/>
  <c r="M37" i="4"/>
  <c r="M31" i="4"/>
  <c r="Z11" i="7"/>
  <c r="Z25" i="7"/>
  <c r="O37" i="4"/>
  <c r="O31" i="4"/>
  <c r="O18" i="4"/>
  <c r="O12" i="4"/>
  <c r="AA38" i="3"/>
  <c r="AA15" i="3"/>
  <c r="AA52" i="2"/>
  <c r="AA45" i="2"/>
  <c r="AA17" i="2"/>
  <c r="AA10" i="2"/>
  <c r="AA46" i="6"/>
  <c r="AA39" i="6"/>
  <c r="AA9" i="6"/>
  <c r="AA24" i="6"/>
  <c r="AA20" i="6"/>
  <c r="AA17" i="6" s="1"/>
  <c r="Y25" i="7"/>
  <c r="Y11" i="7"/>
  <c r="Z38" i="3"/>
  <c r="Z15" i="3"/>
  <c r="Z52" i="2"/>
  <c r="Z45" i="2"/>
  <c r="Z17" i="2"/>
  <c r="Z10" i="2"/>
  <c r="Z51" i="6"/>
  <c r="Z46" i="6"/>
  <c r="Y46" i="6"/>
  <c r="X46" i="6"/>
  <c r="Z39" i="6"/>
  <c r="Z24" i="6"/>
  <c r="Z20" i="6"/>
  <c r="X25" i="7"/>
  <c r="X11" i="7"/>
  <c r="Y38" i="3"/>
  <c r="Y15" i="3"/>
  <c r="Q52" i="2"/>
  <c r="R52" i="2"/>
  <c r="S52" i="2"/>
  <c r="T52" i="2"/>
  <c r="U52" i="2"/>
  <c r="V52" i="2"/>
  <c r="W52" i="2"/>
  <c r="X52" i="2"/>
  <c r="Q45" i="2"/>
  <c r="R45" i="2"/>
  <c r="S45" i="2"/>
  <c r="T45" i="2"/>
  <c r="U45" i="2"/>
  <c r="V45" i="2"/>
  <c r="W45" i="2"/>
  <c r="X45" i="2"/>
  <c r="Y52" i="2"/>
  <c r="Y45" i="2"/>
  <c r="I17" i="2"/>
  <c r="J17" i="2"/>
  <c r="K17" i="2"/>
  <c r="L17" i="2"/>
  <c r="M17" i="2"/>
  <c r="N17" i="2"/>
  <c r="O17" i="2"/>
  <c r="P17" i="2"/>
  <c r="Q17" i="2"/>
  <c r="R17" i="2"/>
  <c r="S17" i="2"/>
  <c r="T17" i="2"/>
  <c r="U17" i="2"/>
  <c r="V17" i="2"/>
  <c r="W17" i="2"/>
  <c r="I10" i="2"/>
  <c r="J10" i="2"/>
  <c r="K10" i="2"/>
  <c r="L10" i="2"/>
  <c r="M10" i="2"/>
  <c r="N10" i="2"/>
  <c r="O10" i="2"/>
  <c r="P10" i="2"/>
  <c r="Q10" i="2"/>
  <c r="R10" i="2"/>
  <c r="S10" i="2"/>
  <c r="T10" i="2"/>
  <c r="U10" i="2"/>
  <c r="V10" i="2"/>
  <c r="W10" i="2"/>
  <c r="X10" i="2"/>
  <c r="X17" i="2"/>
  <c r="Y17" i="2"/>
  <c r="Y10" i="2"/>
  <c r="J24" i="6"/>
  <c r="K24" i="6"/>
  <c r="L24" i="6"/>
  <c r="M24" i="6"/>
  <c r="N24" i="6"/>
  <c r="O24" i="6"/>
  <c r="P24" i="6"/>
  <c r="Q24" i="6"/>
  <c r="R24" i="6"/>
  <c r="S24" i="6"/>
  <c r="T24" i="6"/>
  <c r="U24" i="6"/>
  <c r="V24" i="6"/>
  <c r="W24" i="6"/>
  <c r="X24" i="6"/>
  <c r="Y24" i="6"/>
  <c r="I24" i="6"/>
  <c r="J20" i="6"/>
  <c r="K20" i="6"/>
  <c r="L20" i="6"/>
  <c r="M20" i="6"/>
  <c r="N20" i="6"/>
  <c r="O20" i="6"/>
  <c r="P20" i="6"/>
  <c r="Q20" i="6"/>
  <c r="R20" i="6"/>
  <c r="S20" i="6"/>
  <c r="T20" i="6"/>
  <c r="U20" i="6"/>
  <c r="V20" i="6"/>
  <c r="W20" i="6"/>
  <c r="X20" i="6"/>
  <c r="Y20" i="6"/>
  <c r="I20" i="6"/>
  <c r="N12" i="4"/>
  <c r="N18" i="4"/>
  <c r="N31" i="4"/>
  <c r="N37" i="4"/>
  <c r="Y39" i="6"/>
  <c r="Y9" i="6"/>
  <c r="Y29" i="6"/>
  <c r="W11" i="7"/>
  <c r="W25" i="7"/>
  <c r="X9" i="6"/>
  <c r="X29" i="6"/>
  <c r="X39" i="6"/>
  <c r="K12" i="4"/>
  <c r="L12" i="4"/>
  <c r="K18" i="4"/>
  <c r="L37" i="4"/>
  <c r="L18" i="4"/>
  <c r="J18" i="4"/>
  <c r="I18" i="4"/>
  <c r="J12" i="4"/>
  <c r="I12" i="4"/>
  <c r="J37" i="4"/>
  <c r="K37" i="4"/>
  <c r="I37" i="4"/>
  <c r="J31" i="4"/>
  <c r="K31" i="4"/>
  <c r="I31" i="4"/>
  <c r="Q11" i="7"/>
  <c r="R11" i="7"/>
  <c r="S11" i="7"/>
  <c r="T11" i="7"/>
  <c r="U11" i="7"/>
  <c r="V11" i="7"/>
  <c r="Q25" i="7"/>
  <c r="Q27" i="7" s="1"/>
  <c r="R25" i="7"/>
  <c r="R27" i="7" s="1"/>
  <c r="S25" i="7"/>
  <c r="T25" i="7"/>
  <c r="V25" i="7"/>
  <c r="P25" i="7"/>
  <c r="P27" i="7" s="1"/>
  <c r="I11" i="7"/>
  <c r="I13" i="7" s="1"/>
  <c r="J11" i="7"/>
  <c r="J13" i="7" s="1"/>
  <c r="K11" i="7"/>
  <c r="L11" i="7"/>
  <c r="M11" i="7"/>
  <c r="N11" i="7"/>
  <c r="O11" i="7"/>
  <c r="P11" i="7"/>
  <c r="H11" i="7"/>
  <c r="H13" i="7" s="1"/>
  <c r="J29" i="6"/>
  <c r="K29" i="6"/>
  <c r="L29" i="6"/>
  <c r="M29" i="6"/>
  <c r="N29" i="6"/>
  <c r="O29" i="6"/>
  <c r="P29" i="6"/>
  <c r="Q29" i="6"/>
  <c r="R29" i="6"/>
  <c r="S29" i="6"/>
  <c r="T29" i="6"/>
  <c r="V29" i="6"/>
  <c r="W29" i="6"/>
  <c r="I29" i="6"/>
  <c r="J9" i="6"/>
  <c r="K9" i="6"/>
  <c r="L9" i="6"/>
  <c r="M9" i="6"/>
  <c r="N9" i="6"/>
  <c r="O9" i="6"/>
  <c r="P9" i="6"/>
  <c r="Q9" i="6"/>
  <c r="R9" i="6"/>
  <c r="S9" i="6"/>
  <c r="T9" i="6"/>
  <c r="U9" i="6"/>
  <c r="V9" i="6"/>
  <c r="W9" i="6"/>
  <c r="I9" i="6"/>
  <c r="R39" i="6"/>
  <c r="S39" i="6"/>
  <c r="T39" i="6"/>
  <c r="U39" i="6"/>
  <c r="V39" i="6"/>
  <c r="W39" i="6"/>
  <c r="Q39" i="6"/>
  <c r="L31" i="4"/>
  <c r="AL17" i="6" l="1"/>
  <c r="AU27" i="7"/>
  <c r="AE17" i="6"/>
  <c r="Y21" i="1"/>
  <c r="Y29" i="1" s="1"/>
  <c r="AR47" i="3"/>
  <c r="C47" i="3" s="1"/>
  <c r="E47" i="3" s="1"/>
  <c r="C44" i="3"/>
  <c r="E44" i="3" s="1"/>
  <c r="AQ27" i="7"/>
  <c r="B25" i="7"/>
  <c r="AQ13" i="7"/>
  <c r="B13" i="7" s="1"/>
  <c r="B11" i="7"/>
  <c r="V17" i="6"/>
  <c r="AC17" i="6"/>
  <c r="G34" i="1"/>
  <c r="C33" i="1"/>
  <c r="D33" i="1"/>
  <c r="AJ21" i="3"/>
  <c r="G30" i="2"/>
  <c r="C29" i="2"/>
  <c r="E29" i="2" s="1"/>
  <c r="AP17" i="6"/>
  <c r="Z25" i="2"/>
  <c r="Z31" i="2" s="1"/>
  <c r="Z33" i="2" s="1"/>
  <c r="AJ17" i="6"/>
  <c r="V25" i="2"/>
  <c r="V31" i="2" s="1"/>
  <c r="V33" i="2" s="1"/>
  <c r="AD17" i="2"/>
  <c r="AD25" i="2" s="1"/>
  <c r="AD31" i="2" s="1"/>
  <c r="AD33" i="2" s="1"/>
  <c r="U21" i="1"/>
  <c r="U29" i="1" s="1"/>
  <c r="X18" i="4"/>
  <c r="S18" i="4"/>
  <c r="AB15" i="3"/>
  <c r="P25" i="2"/>
  <c r="P31" i="2" s="1"/>
  <c r="P33" i="2" s="1"/>
  <c r="Z12" i="4"/>
  <c r="J25" i="2"/>
  <c r="J31" i="2" s="1"/>
  <c r="J33" i="2" s="1"/>
  <c r="U12" i="4"/>
  <c r="K17" i="6"/>
  <c r="AA18" i="4"/>
  <c r="O25" i="2"/>
  <c r="O31" i="2" s="1"/>
  <c r="O33" i="2" s="1"/>
  <c r="AF12" i="4"/>
  <c r="C12" i="4" s="1"/>
  <c r="E12" i="4" s="1"/>
  <c r="AI17" i="6"/>
  <c r="U25" i="2"/>
  <c r="U31" i="2" s="1"/>
  <c r="U33" i="2" s="1"/>
  <c r="Z59" i="2"/>
  <c r="Z65" i="2" s="1"/>
  <c r="Z67" i="2" s="1"/>
  <c r="AJ15" i="3"/>
  <c r="AF59" i="2"/>
  <c r="AF65" i="2" s="1"/>
  <c r="AF67" i="2" s="1"/>
  <c r="AC10" i="2"/>
  <c r="Q21" i="1"/>
  <c r="Q27" i="1" s="1"/>
  <c r="Q39" i="1" s="1"/>
  <c r="Q43" i="1" s="1"/>
  <c r="Y12" i="4"/>
  <c r="AK59" i="2"/>
  <c r="L17" i="6"/>
  <c r="I25" i="2"/>
  <c r="I31" i="2" s="1"/>
  <c r="I33" i="2" s="1"/>
  <c r="P18" i="4"/>
  <c r="AH10" i="2"/>
  <c r="P12" i="4"/>
  <c r="AH15" i="3"/>
  <c r="Q17" i="6"/>
  <c r="N17" i="6"/>
  <c r="U18" i="4"/>
  <c r="V12" i="4"/>
  <c r="AF17" i="2"/>
  <c r="I17" i="6"/>
  <c r="S12" i="4"/>
  <c r="AL15" i="3"/>
  <c r="AB18" i="4"/>
  <c r="W17" i="6"/>
  <c r="M25" i="2"/>
  <c r="M31" i="2" s="1"/>
  <c r="M33" i="2" s="1"/>
  <c r="S59" i="2"/>
  <c r="S65" i="2" s="1"/>
  <c r="S67" i="2" s="1"/>
  <c r="AF21" i="1"/>
  <c r="X17" i="6"/>
  <c r="R59" i="2"/>
  <c r="R65" i="2" s="1"/>
  <c r="R67" i="2" s="1"/>
  <c r="P21" i="1"/>
  <c r="P27" i="1" s="1"/>
  <c r="P39" i="1" s="1"/>
  <c r="P43" i="1" s="1"/>
  <c r="R17" i="6"/>
  <c r="Q59" i="2"/>
  <c r="Q65" i="2" s="1"/>
  <c r="Q67" i="2" s="1"/>
  <c r="AR59" i="2"/>
  <c r="AR65" i="2" s="1"/>
  <c r="AR67" i="2" s="1"/>
  <c r="AL59" i="2"/>
  <c r="AL65" i="2" s="1"/>
  <c r="AL67" i="2" s="1"/>
  <c r="AF17" i="6"/>
  <c r="AE25" i="2"/>
  <c r="AE31" i="2" s="1"/>
  <c r="AE33" i="2" s="1"/>
  <c r="AG10" i="2"/>
  <c r="X12" i="4"/>
  <c r="P17" i="6"/>
  <c r="Z17" i="6"/>
  <c r="AM15" i="3"/>
  <c r="AG17" i="2"/>
  <c r="W18" i="4"/>
  <c r="J17" i="6"/>
  <c r="O17" i="6"/>
  <c r="W59" i="2"/>
  <c r="W65" i="2" s="1"/>
  <c r="W67" i="2" s="1"/>
  <c r="S21" i="1"/>
  <c r="S27" i="1" s="1"/>
  <c r="S39" i="1" s="1"/>
  <c r="S43" i="1" s="1"/>
  <c r="AB59" i="2"/>
  <c r="AB65" i="2" s="1"/>
  <c r="AB67" i="2" s="1"/>
  <c r="AL47" i="3"/>
  <c r="AL11" i="7"/>
  <c r="AM25" i="2"/>
  <c r="AM31" i="2" s="1"/>
  <c r="L25" i="2"/>
  <c r="L31" i="2" s="1"/>
  <c r="L33" i="2" s="1"/>
  <c r="AA25" i="2"/>
  <c r="AA31" i="2" s="1"/>
  <c r="AA33" i="2" s="1"/>
  <c r="AB12" i="4"/>
  <c r="K25" i="2"/>
  <c r="K31" i="2" s="1"/>
  <c r="K33" i="2" s="1"/>
  <c r="X59" i="2"/>
  <c r="X65" i="2" s="1"/>
  <c r="X67" i="2" s="1"/>
  <c r="AI59" i="2"/>
  <c r="AI65" i="2" s="1"/>
  <c r="AI67" i="2" s="1"/>
  <c r="AI33" i="2" s="1"/>
  <c r="AK17" i="6"/>
  <c r="AH17" i="2"/>
  <c r="W25" i="2"/>
  <c r="W31" i="2" s="1"/>
  <c r="W33" i="2" s="1"/>
  <c r="AP59" i="2"/>
  <c r="AP65" i="2" s="1"/>
  <c r="AP67" i="2" s="1"/>
  <c r="U17" i="6"/>
  <c r="Q12" i="4"/>
  <c r="AE59" i="2"/>
  <c r="AE65" i="2" s="1"/>
  <c r="AE67" i="2" s="1"/>
  <c r="AK15" i="3"/>
  <c r="Q18" i="4"/>
  <c r="AG17" i="6"/>
  <c r="AH17" i="6"/>
  <c r="AN15" i="3"/>
  <c r="AO17" i="6"/>
  <c r="AF10" i="2"/>
  <c r="X25" i="2"/>
  <c r="X31" i="2" s="1"/>
  <c r="X33" i="2" s="1"/>
  <c r="T25" i="2"/>
  <c r="T31" i="2" s="1"/>
  <c r="T33" i="2" s="1"/>
  <c r="AG59" i="2"/>
  <c r="AH11" i="7"/>
  <c r="S25" i="2"/>
  <c r="S31" i="2" s="1"/>
  <c r="S33" i="2" s="1"/>
  <c r="AA11" i="7"/>
  <c r="V18" i="4"/>
  <c r="AA21" i="1"/>
  <c r="AA27" i="1" s="1"/>
  <c r="AA39" i="1" s="1"/>
  <c r="AA43" i="1" s="1"/>
  <c r="AD59" i="2"/>
  <c r="AD65" i="2" s="1"/>
  <c r="AD67" i="2" s="1"/>
  <c r="AF18" i="4"/>
  <c r="C18" i="4" s="1"/>
  <c r="E18" i="4" s="1"/>
  <c r="AE15" i="3"/>
  <c r="AK21" i="3"/>
  <c r="AL25" i="2"/>
  <c r="AL31" i="2" s="1"/>
  <c r="AB10" i="2"/>
  <c r="AI17" i="2"/>
  <c r="T17" i="6"/>
  <c r="AB17" i="6"/>
  <c r="AC59" i="2"/>
  <c r="AC65" i="2" s="1"/>
  <c r="AC67" i="2" s="1"/>
  <c r="AB17" i="2"/>
  <c r="AB25" i="2" s="1"/>
  <c r="AB31" i="2" s="1"/>
  <c r="AB33" i="2" s="1"/>
  <c r="AJ11" i="7"/>
  <c r="AD21" i="1"/>
  <c r="AD27" i="1" s="1"/>
  <c r="AD39" i="1" s="1"/>
  <c r="AD43" i="1" s="1"/>
  <c r="AD11" i="7"/>
  <c r="D9" i="7"/>
  <c r="AA12" i="4"/>
  <c r="W12" i="4"/>
  <c r="Z18" i="4"/>
  <c r="Y18" i="4"/>
  <c r="E37" i="4"/>
  <c r="AO15" i="3"/>
  <c r="AI15" i="3"/>
  <c r="AL21" i="3"/>
  <c r="AC15" i="3"/>
  <c r="AR21" i="3"/>
  <c r="AC17" i="2"/>
  <c r="AA59" i="2"/>
  <c r="AA65" i="2" s="1"/>
  <c r="AA67" i="2" s="1"/>
  <c r="AK17" i="2"/>
  <c r="AM59" i="2"/>
  <c r="AJ10" i="2"/>
  <c r="V59" i="2"/>
  <c r="V65" i="2" s="1"/>
  <c r="V67" i="2" s="1"/>
  <c r="AK10" i="2"/>
  <c r="E53" i="2"/>
  <c r="Y25" i="2"/>
  <c r="Y31" i="2" s="1"/>
  <c r="Y33" i="2" s="1"/>
  <c r="R25" i="2"/>
  <c r="R31" i="2" s="1"/>
  <c r="R33" i="2" s="1"/>
  <c r="Q25" i="2"/>
  <c r="Q31" i="2" s="1"/>
  <c r="Q33" i="2" s="1"/>
  <c r="AJ17" i="2"/>
  <c r="U59" i="2"/>
  <c r="U65" i="2" s="1"/>
  <c r="U67" i="2" s="1"/>
  <c r="N25" i="2"/>
  <c r="N31" i="2" s="1"/>
  <c r="N33" i="2" s="1"/>
  <c r="T59" i="2"/>
  <c r="T65" i="2" s="1"/>
  <c r="T67" i="2" s="1"/>
  <c r="AH59" i="2"/>
  <c r="AH65" i="2" s="1"/>
  <c r="AH67" i="2" s="1"/>
  <c r="AH33" i="2" s="1"/>
  <c r="AO59" i="2"/>
  <c r="AO65" i="2" s="1"/>
  <c r="AO67" i="2" s="1"/>
  <c r="Y59" i="2"/>
  <c r="Y65" i="2" s="1"/>
  <c r="Y67" i="2" s="1"/>
  <c r="AQ59" i="2"/>
  <c r="AQ65" i="2" s="1"/>
  <c r="AQ67" i="2" s="1"/>
  <c r="AI10" i="2"/>
  <c r="AN59" i="2"/>
  <c r="AN65" i="2" s="1"/>
  <c r="AN67" i="2" s="1"/>
  <c r="AJ59" i="2"/>
  <c r="AJ65" i="2" s="1"/>
  <c r="AJ67" i="2" s="1"/>
  <c r="E9" i="1"/>
  <c r="O21" i="1"/>
  <c r="O29" i="1" s="1"/>
  <c r="AB21" i="1"/>
  <c r="AB27" i="1" s="1"/>
  <c r="AB39" i="1" s="1"/>
  <c r="E44" i="6"/>
  <c r="Y17" i="6"/>
  <c r="S17" i="6"/>
  <c r="M17" i="6"/>
  <c r="AD17" i="6"/>
  <c r="AM17" i="6"/>
  <c r="AN17" i="6"/>
  <c r="AR17" i="6"/>
  <c r="C17" i="6" s="1"/>
  <c r="AB40" i="3"/>
  <c r="AB17" i="3" s="1"/>
  <c r="AB21" i="3" s="1"/>
  <c r="AR46" i="3"/>
  <c r="E11" i="2"/>
  <c r="E28" i="2"/>
  <c r="E18" i="2"/>
  <c r="E19" i="2"/>
  <c r="E20" i="2"/>
  <c r="E21" i="2"/>
  <c r="E22" i="2"/>
  <c r="E27" i="2"/>
  <c r="E28" i="4"/>
  <c r="E29" i="4"/>
  <c r="E31" i="4"/>
  <c r="E41" i="6"/>
  <c r="D23" i="7"/>
  <c r="E62" i="2"/>
  <c r="D24" i="7"/>
  <c r="AI25" i="7"/>
  <c r="AI27" i="7" s="1"/>
  <c r="AM11" i="7"/>
  <c r="AM13" i="7" s="1"/>
  <c r="AG11" i="7"/>
  <c r="AN11" i="7"/>
  <c r="AN25" i="7"/>
  <c r="AI11" i="7"/>
  <c r="AI13" i="7" s="1"/>
  <c r="AF11" i="7"/>
  <c r="E46" i="2"/>
  <c r="E33" i="4"/>
  <c r="E16" i="4"/>
  <c r="E9" i="4"/>
  <c r="E14" i="4"/>
  <c r="E15" i="4"/>
  <c r="E34" i="4"/>
  <c r="E10" i="4"/>
  <c r="E10" i="2"/>
  <c r="E34" i="3"/>
  <c r="E12" i="2"/>
  <c r="E39" i="6"/>
  <c r="E24" i="1"/>
  <c r="E17" i="1"/>
  <c r="E18" i="1"/>
  <c r="E19" i="1"/>
  <c r="E23" i="1"/>
  <c r="AC21" i="1"/>
  <c r="AC29" i="1" s="1"/>
  <c r="K21" i="1"/>
  <c r="K29" i="1" s="1"/>
  <c r="X21" i="1"/>
  <c r="X29" i="1" s="1"/>
  <c r="E13" i="1"/>
  <c r="J21" i="1"/>
  <c r="J27" i="1" s="1"/>
  <c r="J39" i="1" s="1"/>
  <c r="J43" i="1" s="1"/>
  <c r="E10" i="1"/>
  <c r="E25" i="1"/>
  <c r="V21" i="1"/>
  <c r="V29" i="1" s="1"/>
  <c r="R21" i="1"/>
  <c r="R27" i="1" s="1"/>
  <c r="R39" i="1" s="1"/>
  <c r="R43" i="1" s="1"/>
  <c r="L21" i="1"/>
  <c r="L29" i="1" s="1"/>
  <c r="E14" i="1"/>
  <c r="E32" i="1"/>
  <c r="T21" i="1"/>
  <c r="T29" i="1" s="1"/>
  <c r="W21" i="1"/>
  <c r="W29" i="1" s="1"/>
  <c r="M21" i="1"/>
  <c r="M27" i="1" s="1"/>
  <c r="M39" i="1" s="1"/>
  <c r="M43" i="1" s="1"/>
  <c r="E15" i="1"/>
  <c r="I21" i="1"/>
  <c r="I27" i="1" s="1"/>
  <c r="I39" i="1" s="1"/>
  <c r="I43" i="1" s="1"/>
  <c r="N21" i="1"/>
  <c r="N27" i="1" s="1"/>
  <c r="N39" i="1" s="1"/>
  <c r="N43" i="1" s="1"/>
  <c r="E16" i="1"/>
  <c r="Z21" i="1"/>
  <c r="Z27" i="1" s="1"/>
  <c r="Z39" i="1" s="1"/>
  <c r="Z43" i="1" s="1"/>
  <c r="AE29" i="1"/>
  <c r="AE27" i="1"/>
  <c r="AE39" i="1" s="1"/>
  <c r="AE43" i="1" s="1"/>
  <c r="E46" i="6"/>
  <c r="A10" i="6"/>
  <c r="A11" i="6" s="1"/>
  <c r="AG65" i="2" l="1"/>
  <c r="AG67" i="2" s="1"/>
  <c r="AG33" i="2" s="1"/>
  <c r="AM65" i="2"/>
  <c r="AM67" i="2" s="1"/>
  <c r="AM33" i="2" s="1"/>
  <c r="AN12" i="7" s="1"/>
  <c r="AN13" i="7" s="1"/>
  <c r="AK65" i="2"/>
  <c r="AK67" i="2" s="1"/>
  <c r="AK26" i="7" s="1"/>
  <c r="AK12" i="7" s="1"/>
  <c r="AK13" i="7" s="1"/>
  <c r="Y27" i="1"/>
  <c r="Y39" i="1" s="1"/>
  <c r="Y43" i="1" s="1"/>
  <c r="C21" i="3"/>
  <c r="E21" i="3" s="1"/>
  <c r="AR23" i="3"/>
  <c r="AC25" i="2"/>
  <c r="AC31" i="2" s="1"/>
  <c r="AC33" i="2" s="1"/>
  <c r="AD12" i="7" s="1"/>
  <c r="AD13" i="7" s="1"/>
  <c r="D25" i="7"/>
  <c r="G35" i="1"/>
  <c r="C34" i="1"/>
  <c r="D34" i="1"/>
  <c r="C23" i="3"/>
  <c r="E23" i="3" s="1"/>
  <c r="C46" i="3"/>
  <c r="E46" i="3" s="1"/>
  <c r="C59" i="2"/>
  <c r="E59" i="2" s="1"/>
  <c r="AF29" i="1"/>
  <c r="C29" i="1" s="1"/>
  <c r="E29" i="1" s="1"/>
  <c r="C21" i="1"/>
  <c r="E21" i="1" s="1"/>
  <c r="G31" i="2"/>
  <c r="D31" i="2" s="1"/>
  <c r="U27" i="1"/>
  <c r="U39" i="1" s="1"/>
  <c r="U43" i="1" s="1"/>
  <c r="J29" i="1"/>
  <c r="AF25" i="2"/>
  <c r="AF31" i="2" s="1"/>
  <c r="AF33" i="2" s="1"/>
  <c r="AG25" i="2"/>
  <c r="AG31" i="2" s="1"/>
  <c r="U12" i="7"/>
  <c r="U13" i="7" s="1"/>
  <c r="AF27" i="1"/>
  <c r="Z26" i="7"/>
  <c r="Z27" i="7" s="1"/>
  <c r="Q29" i="1"/>
  <c r="P29" i="1"/>
  <c r="V12" i="7"/>
  <c r="V13" i="7" s="1"/>
  <c r="W12" i="7"/>
  <c r="W13" i="7" s="1"/>
  <c r="N12" i="7"/>
  <c r="N13" i="7" s="1"/>
  <c r="M12" i="7"/>
  <c r="M13" i="7" s="1"/>
  <c r="AB26" i="7"/>
  <c r="AB27" i="7" s="1"/>
  <c r="AI25" i="2"/>
  <c r="AI31" i="2" s="1"/>
  <c r="S29" i="1"/>
  <c r="AH25" i="2"/>
  <c r="AH31" i="2" s="1"/>
  <c r="X26" i="7"/>
  <c r="X27" i="7" s="1"/>
  <c r="Z12" i="7"/>
  <c r="Z13" i="7" s="1"/>
  <c r="AE26" i="7"/>
  <c r="AE27" i="7" s="1"/>
  <c r="AD29" i="1"/>
  <c r="AG26" i="7"/>
  <c r="AG27" i="7" s="1"/>
  <c r="O12" i="7"/>
  <c r="O13" i="7" s="1"/>
  <c r="O27" i="1"/>
  <c r="O39" i="1" s="1"/>
  <c r="O43" i="1" s="1"/>
  <c r="T26" i="7"/>
  <c r="T27" i="7" s="1"/>
  <c r="V26" i="7"/>
  <c r="V27" i="7" s="1"/>
  <c r="AA12" i="7"/>
  <c r="AA13" i="7" s="1"/>
  <c r="AD26" i="7"/>
  <c r="AD27" i="7" s="1"/>
  <c r="AJ25" i="2"/>
  <c r="AJ31" i="2" s="1"/>
  <c r="AJ33" i="2" s="1"/>
  <c r="K27" i="1"/>
  <c r="K39" i="1" s="1"/>
  <c r="K43" i="1" s="1"/>
  <c r="S26" i="7"/>
  <c r="S27" i="7" s="1"/>
  <c r="AC26" i="7"/>
  <c r="AC27" i="7" s="1"/>
  <c r="L12" i="7"/>
  <c r="L13" i="7" s="1"/>
  <c r="Y26" i="7"/>
  <c r="Y27" i="7" s="1"/>
  <c r="Q12" i="7"/>
  <c r="Q13" i="7" s="1"/>
  <c r="U26" i="7"/>
  <c r="U27" i="7" s="1"/>
  <c r="K12" i="7"/>
  <c r="K13" i="7" s="1"/>
  <c r="AH26" i="7"/>
  <c r="AH27" i="7" s="1"/>
  <c r="AK25" i="2"/>
  <c r="AK31" i="2" s="1"/>
  <c r="X12" i="7"/>
  <c r="X13" i="7" s="1"/>
  <c r="D13" i="7"/>
  <c r="S12" i="7"/>
  <c r="S13" i="7" s="1"/>
  <c r="AB44" i="3"/>
  <c r="AB46" i="3" s="1"/>
  <c r="T12" i="7"/>
  <c r="T13" i="7" s="1"/>
  <c r="W26" i="7"/>
  <c r="W27" i="7" s="1"/>
  <c r="R12" i="7"/>
  <c r="R13" i="7" s="1"/>
  <c r="P12" i="7"/>
  <c r="P13" i="7" s="1"/>
  <c r="Y12" i="7"/>
  <c r="Y13" i="7" s="1"/>
  <c r="AC27" i="1"/>
  <c r="AC39" i="1" s="1"/>
  <c r="AC43" i="1" s="1"/>
  <c r="E9" i="6"/>
  <c r="D11" i="7"/>
  <c r="E17" i="2"/>
  <c r="M29" i="1"/>
  <c r="W27" i="1"/>
  <c r="W39" i="1" s="1"/>
  <c r="W43" i="1" s="1"/>
  <c r="T27" i="1"/>
  <c r="T39" i="1" s="1"/>
  <c r="T43" i="1" s="1"/>
  <c r="X27" i="1"/>
  <c r="X39" i="1" s="1"/>
  <c r="X43" i="1" s="1"/>
  <c r="R29" i="1"/>
  <c r="N29" i="1"/>
  <c r="V27" i="1"/>
  <c r="V39" i="1" s="1"/>
  <c r="V43" i="1" s="1"/>
  <c r="L27" i="1"/>
  <c r="L39" i="1" s="1"/>
  <c r="L43" i="1" s="1"/>
  <c r="I29" i="1"/>
  <c r="AB43" i="1"/>
  <c r="A12" i="6"/>
  <c r="AK33" i="2" l="1"/>
  <c r="AJ12" i="7" s="1"/>
  <c r="AJ13" i="7" s="1"/>
  <c r="AB12" i="7"/>
  <c r="AB13" i="7" s="1"/>
  <c r="AG12" i="7"/>
  <c r="AC12" i="7"/>
  <c r="AC13" i="7" s="1"/>
  <c r="E34" i="1"/>
  <c r="AF39" i="1"/>
  <c r="AF43" i="1" s="1"/>
  <c r="C27" i="1"/>
  <c r="E27" i="1" s="1"/>
  <c r="C65" i="2"/>
  <c r="E65" i="2" s="1"/>
  <c r="AF12" i="7"/>
  <c r="AF13" i="7" s="1"/>
  <c r="AH12" i="7"/>
  <c r="AH13" i="7" s="1"/>
  <c r="G36" i="1"/>
  <c r="G37" i="1" s="1"/>
  <c r="C35" i="1"/>
  <c r="D35" i="1"/>
  <c r="AE12" i="7"/>
  <c r="AE13" i="7" s="1"/>
  <c r="G32" i="2"/>
  <c r="C31" i="2"/>
  <c r="E31" i="2" s="1"/>
  <c r="AK27" i="7"/>
  <c r="AN26" i="7"/>
  <c r="AO26" i="7"/>
  <c r="AO27" i="7" s="1"/>
  <c r="E25" i="2"/>
  <c r="E11" i="6"/>
  <c r="A13" i="6"/>
  <c r="E35" i="1" l="1"/>
  <c r="G38" i="1"/>
  <c r="G39" i="1" s="1"/>
  <c r="D37" i="1"/>
  <c r="C37" i="1"/>
  <c r="C67" i="2"/>
  <c r="E67" i="2" s="1"/>
  <c r="AR26" i="7"/>
  <c r="G33" i="2"/>
  <c r="AN27" i="7"/>
  <c r="A14" i="6"/>
  <c r="E12" i="6"/>
  <c r="E37" i="1" l="1"/>
  <c r="B26" i="7"/>
  <c r="D26" i="7" s="1"/>
  <c r="AR12" i="7"/>
  <c r="B12" i="7" s="1"/>
  <c r="D12" i="7" s="1"/>
  <c r="AR27" i="7"/>
  <c r="B27" i="7" s="1"/>
  <c r="D27" i="7" s="1"/>
  <c r="C33" i="2"/>
  <c r="D33" i="2"/>
  <c r="G40" i="1"/>
  <c r="G41" i="1" s="1"/>
  <c r="D39" i="1"/>
  <c r="C39" i="1"/>
  <c r="A15" i="6"/>
  <c r="E33" i="2" l="1"/>
  <c r="E39" i="1"/>
  <c r="G42" i="1"/>
  <c r="G43" i="1" s="1"/>
  <c r="D41" i="1"/>
  <c r="C41" i="1"/>
  <c r="A16" i="6"/>
  <c r="A17" i="6" s="1"/>
  <c r="E41" i="1" l="1"/>
  <c r="G44" i="1"/>
  <c r="G45" i="1" s="1"/>
  <c r="D43" i="1"/>
  <c r="C43" i="1"/>
  <c r="E15" i="6"/>
  <c r="A18" i="6"/>
  <c r="A19" i="6" s="1"/>
  <c r="E43" i="1" l="1"/>
  <c r="G46" i="1"/>
  <c r="D45" i="1"/>
  <c r="C45" i="1"/>
  <c r="E17" i="6"/>
  <c r="A20" i="6"/>
  <c r="E45" i="1" l="1"/>
  <c r="D46" i="1"/>
  <c r="C46" i="1"/>
  <c r="E19" i="6"/>
  <c r="A21" i="6"/>
  <c r="E46" i="1" l="1"/>
  <c r="E20" i="6"/>
  <c r="A22" i="6"/>
  <c r="E21" i="6" l="1"/>
  <c r="A23" i="6"/>
  <c r="A24" i="6" l="1"/>
  <c r="E22" i="6"/>
  <c r="A25" i="6" l="1"/>
  <c r="E23" i="6"/>
  <c r="A26" i="6" l="1"/>
  <c r="A27" i="6" l="1"/>
  <c r="A28" i="6" l="1"/>
  <c r="A29" i="6" l="1"/>
  <c r="D10" i="7" l="1"/>
  <c r="D36" i="3" l="1"/>
  <c r="E36" i="3" s="1"/>
  <c r="D13" i="3"/>
  <c r="E13" i="3" s="1"/>
  <c r="AX15" i="3" l="1"/>
  <c r="C15" i="3" s="1"/>
  <c r="D15" i="3" l="1"/>
  <c r="D38" i="3" l="1"/>
  <c r="E38" i="3" s="1"/>
</calcChain>
</file>

<file path=xl/sharedStrings.xml><?xml version="1.0" encoding="utf-8"?>
<sst xmlns="http://schemas.openxmlformats.org/spreadsheetml/2006/main" count="1182" uniqueCount="257">
  <si>
    <t>CHILE</t>
  </si>
  <si>
    <t>Contracted Annual Energy (GWh)</t>
  </si>
  <si>
    <t>Start Date</t>
  </si>
  <si>
    <t>End Date</t>
  </si>
  <si>
    <t>Energy Supply</t>
  </si>
  <si>
    <t>Regulated</t>
  </si>
  <si>
    <t>Enel Dx. y EEPA</t>
  </si>
  <si>
    <t>Mix</t>
  </si>
  <si>
    <t>Pelumpen*</t>
  </si>
  <si>
    <t>Unregulated</t>
  </si>
  <si>
    <t>Codelco I</t>
  </si>
  <si>
    <t>Codelco II</t>
  </si>
  <si>
    <t>1,800-1,000</t>
  </si>
  <si>
    <t>2010-2026</t>
  </si>
  <si>
    <t>Mix-Renewable</t>
  </si>
  <si>
    <t>CMPC</t>
  </si>
  <si>
    <t>Walmart</t>
  </si>
  <si>
    <t>Renewable</t>
  </si>
  <si>
    <t>Bio Bio</t>
  </si>
  <si>
    <t>Antofagasta Minerals - Minera Zaldivar</t>
  </si>
  <si>
    <t>BHP</t>
  </si>
  <si>
    <t>CCU</t>
  </si>
  <si>
    <t>Collahuasi</t>
  </si>
  <si>
    <t>230-650</t>
  </si>
  <si>
    <t>Puerto Angamos</t>
  </si>
  <si>
    <t>Aguas Pacífico</t>
  </si>
  <si>
    <t>Antofagasta Minerals - Minera Centinela</t>
  </si>
  <si>
    <t>Codelco III</t>
  </si>
  <si>
    <t>(*) Considers 427 GWh associated to ILAP regulated PPAs.</t>
  </si>
  <si>
    <t>PERÚ</t>
  </si>
  <si>
    <t>Contracted Capacity (MW)</t>
  </si>
  <si>
    <t>Luz Del Sur I</t>
  </si>
  <si>
    <t>Thermal</t>
  </si>
  <si>
    <t>Pluz I</t>
  </si>
  <si>
    <t>Luz Del Sur II</t>
  </si>
  <si>
    <t>Distriluz</t>
  </si>
  <si>
    <t>Pluz II</t>
  </si>
  <si>
    <t>Electro Oriente*</t>
  </si>
  <si>
    <t>98 - 118</t>
  </si>
  <si>
    <t>Others Regulated</t>
  </si>
  <si>
    <t>Peruana de Moldeados</t>
  </si>
  <si>
    <t>Distributors (Bilateral Agreements)</t>
  </si>
  <si>
    <t>Tejidos San Jacinto</t>
  </si>
  <si>
    <t>Agro Industrial Paramonga</t>
  </si>
  <si>
    <t>Cencosud Perú</t>
  </si>
  <si>
    <t>Norcobre</t>
  </si>
  <si>
    <t>Operadores Concentrados Peruanos</t>
  </si>
  <si>
    <t>Metro 2 Lima</t>
  </si>
  <si>
    <t>Volcan*</t>
  </si>
  <si>
    <t>107-122</t>
  </si>
  <si>
    <t>Medifarma</t>
  </si>
  <si>
    <t>(*) Consider the minimum and maximum capacity contracted per year for these clients.</t>
  </si>
  <si>
    <t>Power Plants</t>
  </si>
  <si>
    <t>MW</t>
  </si>
  <si>
    <t>Technology</t>
  </si>
  <si>
    <t>Region</t>
  </si>
  <si>
    <t>Aconcagua Complex</t>
  </si>
  <si>
    <t>Hydro</t>
  </si>
  <si>
    <t>Valparaíso Region</t>
  </si>
  <si>
    <t>El Maule Complex</t>
  </si>
  <si>
    <t>Maule Region</t>
  </si>
  <si>
    <t>Laja</t>
  </si>
  <si>
    <t>Angostura</t>
  </si>
  <si>
    <t>Canutillar</t>
  </si>
  <si>
    <t>Los Lagos Region</t>
  </si>
  <si>
    <t>Total Hydro Installed Capacity</t>
  </si>
  <si>
    <t>Ovejería</t>
  </si>
  <si>
    <t>Photovoltaic</t>
  </si>
  <si>
    <t>Machicura</t>
  </si>
  <si>
    <t>Diego de Almagro</t>
  </si>
  <si>
    <t>Antofagasta Region</t>
  </si>
  <si>
    <t>Total Photovoltaic Installed Capacity</t>
  </si>
  <si>
    <t>Nehuenco 1</t>
  </si>
  <si>
    <t>Gas</t>
  </si>
  <si>
    <t>Metropolitana Region</t>
  </si>
  <si>
    <t>Nehuenco 2</t>
  </si>
  <si>
    <t>Nehuenco 3</t>
  </si>
  <si>
    <t>Gas-Diesel</t>
  </si>
  <si>
    <t>Candelaria</t>
  </si>
  <si>
    <t>Bernardo O´Higgins Liberator Region</t>
  </si>
  <si>
    <t>Los Pinos</t>
  </si>
  <si>
    <t>Diesel</t>
  </si>
  <si>
    <t>Bío Bío Region</t>
  </si>
  <si>
    <t>Santa María</t>
  </si>
  <si>
    <t>Coal</t>
  </si>
  <si>
    <t>Total Thermic Installed Capacity</t>
  </si>
  <si>
    <t>San Juan</t>
  </si>
  <si>
    <t>Wind farm</t>
  </si>
  <si>
    <t>Atacama Region</t>
  </si>
  <si>
    <t>Totoral</t>
  </si>
  <si>
    <t>Coquimbo Region</t>
  </si>
  <si>
    <t>Total Wind farm Installed Capacity</t>
  </si>
  <si>
    <t>Total Chile Installed Capacity</t>
  </si>
  <si>
    <t>Fenix</t>
  </si>
  <si>
    <t>Central Coast Region</t>
  </si>
  <si>
    <t>Total Perú Installed Capacity</t>
  </si>
  <si>
    <t>Total Colbún Installed Capacity</t>
  </si>
  <si>
    <t>PHYSICAL SALES</t>
  </si>
  <si>
    <t>4Q23</t>
  </si>
  <si>
    <t>4Q24</t>
  </si>
  <si>
    <t>Var (%)</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</si>
  <si>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</si>
  <si>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</si>
  <si>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</si>
  <si>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</si>
  <si>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</si>
  <si>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</si>
  <si>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</si>
  <si>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</si>
  <si>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</si>
  <si>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</si>
  <si>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</si>
  <si>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</si>
  <si>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</si>
  <si>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</si>
  <si>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</si>
  <si>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</si>
  <si>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</si>
  <si>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</si>
  <si>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</si>
  <si>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</si>
  <si>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</si>
  <si>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</si>
  <si>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</si>
  <si>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</si>
  <si>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</si>
  <si>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</si>
  <si>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</si>
  <si>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</si>
  <si>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</si>
  <si>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</si>
  <si>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</si>
  <si>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</si>
  <si>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</si>
  <si>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</si>
  <si>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</si>
  <si>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</si>
  <si>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</si>
  <si>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</si>
  <si>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</si>
  <si>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1Q24</t>
  </si>
  <si>
    <t>2Q24</t>
  </si>
  <si>
    <t>3Q24</t>
  </si>
  <si>
    <t>(GWh)</t>
  </si>
  <si>
    <t>Total Physical Sales</t>
  </si>
  <si>
    <t>Regulated Customers</t>
  </si>
  <si>
    <t>Unregulated Customers</t>
  </si>
  <si>
    <t>Sales to the Spot Market</t>
  </si>
  <si>
    <t>-</t>
  </si>
  <si>
    <t>Capacity Sales</t>
  </si>
  <si>
    <t>Total Generation</t>
  </si>
  <si>
    <t>Hydraulic</t>
  </si>
  <si>
    <t xml:space="preserve">    Gas</t>
  </si>
  <si>
    <t xml:space="preserve">    Diesel</t>
  </si>
  <si>
    <t xml:space="preserve">    Coal</t>
  </si>
  <si>
    <t>REVS</t>
  </si>
  <si>
    <t xml:space="preserve">    Wind (*)</t>
  </si>
  <si>
    <t xml:space="preserve">    Solar(**)</t>
  </si>
  <si>
    <t>Spot Market Purchases</t>
  </si>
  <si>
    <t>Sales - Purchases to the Spot Market</t>
  </si>
  <si>
    <t>Customers Under Contract</t>
  </si>
  <si>
    <t>Thermoelectric - Gas</t>
  </si>
  <si>
    <t xml:space="preserve">(*) Corresponds to the energy purchased from the Punta Palmeras wind farm </t>
  </si>
  <si>
    <t>CONSOLIDATED</t>
  </si>
  <si>
    <t xml:space="preserve">COMPREHENSIVE INCOME STATEMENT </t>
  </si>
  <si>
    <t xml:space="preserve">2Q19 </t>
  </si>
  <si>
    <t>US$ million</t>
  </si>
  <si>
    <t>Operating Income</t>
  </si>
  <si>
    <t>Sales</t>
  </si>
  <si>
    <t>Other Operating Income</t>
  </si>
  <si>
    <t>Raw Material and Consumables Used</t>
  </si>
  <si>
    <t>Transmission Tolls</t>
  </si>
  <si>
    <t>Energy and Capacity Purchases</t>
  </si>
  <si>
    <t>Gas Consumption</t>
  </si>
  <si>
    <t>Diesel Consumption</t>
  </si>
  <si>
    <t>Coal Consumption</t>
  </si>
  <si>
    <t>Other Operating  Expenses</t>
  </si>
  <si>
    <t>Gross Profit</t>
  </si>
  <si>
    <t>Personnel Expenses</t>
  </si>
  <si>
    <t>Other Expenses, by Nature</t>
  </si>
  <si>
    <t>Depreciation and Amortization Expenses</t>
  </si>
  <si>
    <t>Operating Income (Loss)</t>
  </si>
  <si>
    <t>EBITDA</t>
  </si>
  <si>
    <t>Financial Income</t>
  </si>
  <si>
    <t>Financial Expenses</t>
  </si>
  <si>
    <t>Exchange rate Differences</t>
  </si>
  <si>
    <t>Profit (Loss) of Companies Accounted for Using the Equity Method</t>
  </si>
  <si>
    <t>Other Profit (Loss)</t>
  </si>
  <si>
    <t>Non-Operating Income</t>
  </si>
  <si>
    <t>Profit (Loss) Before Taxes</t>
  </si>
  <si>
    <t>Income Tax Expense</t>
  </si>
  <si>
    <t>Profit (Loss) After Tax</t>
  </si>
  <si>
    <t>Profit (Loss) Controller</t>
  </si>
  <si>
    <t>Profit (Loss) Atributtable to Minority Interest</t>
  </si>
  <si>
    <t xml:space="preserve">(*): The subtotal shown in “OPERATING INCOME” presented herein, differs from the “Profit (loss) from operating activities” line presented in the Financial Statements. This is explained by a change in taxonomy dictated by the CMF (Financial Market Commission), by means of which the concept of “Other Profit (loss)”, which in the case of Colbún are only non-operating items, was incorporated as an operating item in the Financial Statements. </t>
  </si>
  <si>
    <t xml:space="preserve">CHILE </t>
  </si>
  <si>
    <t>OPERATING INCOME</t>
  </si>
  <si>
    <t>Var%</t>
  </si>
  <si>
    <t>Regulated Customers Sales</t>
  </si>
  <si>
    <t>Nonregulated Customers Sales</t>
  </si>
  <si>
    <t>Energy and Capacity Sales</t>
  </si>
  <si>
    <t>RAW MATERIALS AND CONSUMABLES USED</t>
  </si>
  <si>
    <t>Other Operating Expenses</t>
  </si>
  <si>
    <t>GROSS PROFIT</t>
  </si>
  <si>
    <t>Other Expenses, by nature</t>
  </si>
  <si>
    <t>OPERATING INCOME (LOSS)</t>
  </si>
  <si>
    <t>Var %</t>
  </si>
  <si>
    <t>ENERGY SALES</t>
  </si>
  <si>
    <t xml:space="preserve">3Q19 </t>
  </si>
  <si>
    <t xml:space="preserve">4Q19 </t>
  </si>
  <si>
    <t>Sales to Other Generators</t>
  </si>
  <si>
    <t>(*): The subtotal shown in “OPERATING INCOME” presented herein, differs from the “Profit (loss) from operating activities” line presented in the Financial Statements. This is explained by a change in taxonomy dictated by the CMF (Financial Market Commission), by means of which the concept of “Other Profit (loss)”, which in the case of Colbún are only non-operating items, was incorporated as an operating item in the Financial Statements.</t>
  </si>
  <si>
    <t>NON-OPERATING INCOME</t>
  </si>
  <si>
    <t>(*) Regarding Fenix’s Financial Statements, for the second quarter of 2019 the following is worth to mention: 
(1) As of June 2019, a reclassification of toll’s revenues and costs was made at Fenix subsidiary level in Peru, presenting the net effect of these items. Prior to that date, income and costs were presented separately in the Income Statement. For comparative purposes, the same reclassification was made in the 1Q19’s figures presented in this file.                                                                                                                                                                                                                                                                                                                                           (2)As of June 2019, the gas contract with Calidda, in Peru, began to be recognized as a financial lease, due to the entry into force of IFRS16 accounting regulations. It should be noted that, on that date, the accounting impacts were recorded retroactively for the year 2019. For comparative purposes, the same classification was made in the 1Q19 figures presented in this file. More detail in the Appendix at the end of the Earnings Report</t>
  </si>
  <si>
    <t>BALANCE SHEET (MAIN ACCOUNTS)</t>
  </si>
  <si>
    <t>Current assets</t>
  </si>
  <si>
    <t>Non-current assets</t>
  </si>
  <si>
    <t>TOTAL ASSETS</t>
  </si>
  <si>
    <t xml:space="preserve">Current liabilities </t>
  </si>
  <si>
    <t>Non-current liabilities</t>
  </si>
  <si>
    <t>Total equity</t>
  </si>
  <si>
    <t>TOTAL LIABILITIES AND NET EQUITY</t>
  </si>
  <si>
    <t xml:space="preserve">Non-current liabilities </t>
  </si>
  <si>
    <t xml:space="preserve">Total net equity </t>
  </si>
  <si>
    <t>MAIN DEBT ITEMS</t>
  </si>
  <si>
    <t>Gross Financial Debt</t>
  </si>
  <si>
    <t>Gross Financial Debt*</t>
  </si>
  <si>
    <t>Financial Investments</t>
  </si>
  <si>
    <t>Net Debt</t>
  </si>
  <si>
    <t>EBITDA LTM</t>
  </si>
  <si>
    <t>Net Debt/EBITDA LTM (x)</t>
  </si>
  <si>
    <t>* Includes capitalised expenses.</t>
  </si>
  <si>
    <t>(*) The account “Financial Investments” presented includes the amount associated to time deposits that, by having an investment term of more than 90 days, are recorded as “Other Current Financial Assets” in the Financial Statements.</t>
  </si>
  <si>
    <t>AMORTIZATION PROFILE (*)</t>
  </si>
  <si>
    <t xml:space="preserve">Colbun </t>
  </si>
  <si>
    <t>(*) Leasings, accrued interests and activated expenses are not included.</t>
  </si>
  <si>
    <t>1Q25</t>
  </si>
  <si>
    <t>2Q25</t>
  </si>
  <si>
    <t>2026-2044</t>
  </si>
  <si>
    <t>2024-2025</t>
  </si>
  <si>
    <t>2026-2035</t>
  </si>
  <si>
    <t>Parque Arauco</t>
  </si>
  <si>
    <t>Horizonte</t>
  </si>
  <si>
    <t xml:space="preserve">    Solar</t>
  </si>
  <si>
    <t>CASH FLOW</t>
  </si>
  <si>
    <t>Cash Equivalents, Beg. of Period*</t>
  </si>
  <si>
    <t xml:space="preserve">Cash Equivalents, Beg. of Period </t>
  </si>
  <si>
    <t xml:space="preserve">Net cash flows provided by (used in) operating activities </t>
  </si>
  <si>
    <t>Net cash flows provided by (used in) financing activities</t>
  </si>
  <si>
    <t xml:space="preserve">Net cash flows provided by (used in) financing activities </t>
  </si>
  <si>
    <t>Net cash flows provided by (used in) investing activities**</t>
  </si>
  <si>
    <t>Net cash flows provided by (used in) investing activities</t>
  </si>
  <si>
    <t>Net Cash Flows for the Period</t>
  </si>
  <si>
    <t>Effects of exchange rate changes on cash and cash equivalents</t>
  </si>
  <si>
    <t xml:space="preserve">Cash Equivalents, End of Period </t>
  </si>
  <si>
    <t>Net cash flows provided by (used in) financing activities**</t>
  </si>
  <si>
    <t>(*) The account “Cash and Cash Equivalents” presented includes the amount associated to time deposits that, by having an investment term of more than 90 days, are recorded as “Other Current Financial Assets” in the Financial Statements.
(**) "Cash Flow from Investing Activities" differs from the Financial Statements since it does not incorporate the amount associated with deposits with maturity over 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</si>
</sst>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4">
    <numFmt numFmtId="43" formatCode="_(* #,##0.00_);_(* \(#,##0.00\);_(* &quot;-&quot;??_);_(@_)"/>
    <numFmt numFmtId="164" formatCode="_ &quot;$&quot;* #,##0_ ;_ &quot;$&quot;* \-#,##0_ ;_ &quot;$&quot;* &quot;-&quot;_ ;_ @_ "/>
    <numFmt numFmtId="165" formatCode="_ * #,##0_ ;_ * \-#,##0_ ;_ * &quot;-&quot;_ ;_ @_ "/>
    <numFmt numFmtId="166" formatCode="_ * #,##0.00_ ;_ * \-#,##0.00_ ;_ * &quot;-&quot;??_ ;_ @_ "/>
    <numFmt numFmtId="167" formatCode="&quot;$&quot;\ #,##0.00;[Red]\-&quot;$&quot;\ #,##0.00"/>
    <numFmt numFmtId="168" formatCode="_-* #,##0_-;\-* #,##0_-;_-* &quot;-&quot;_-;_-@_-"/>
    <numFmt numFmtId="169" formatCode="_-* #,##0.00_-;\-* #,##0.00_-;_-* &quot;-&quot;??_-;_-@_-"/>
    <numFmt numFmtId="170" formatCode="_-&quot;$&quot;* #,##0_-;\-&quot;$&quot;* #,##0_-;_-&quot;$&quot;* &quot;-&quot;_-;_-@_-"/>
    <numFmt numFmtId="171" formatCode="_-&quot;$&quot;* #,##0.00_-;\-&quot;$&quot;* #,##0.00_-;_-&quot;$&quot;* &quot;-&quot;??_-;_-@_-"/>
    <numFmt numFmtId="172" formatCode="0.0"/>
    <numFmt numFmtId="173" formatCode="_(* #,##0.0_);_(* \(#,##0.0\);_(* &quot;-&quot;??_);_(@_)"/>
    <numFmt numFmtId="174" formatCode="_ * #,##0.0_ ;_ * \-#,##0.0_ ;_ * &quot;-&quot;_ ;_ @_ "/>
    <numFmt numFmtId="175" formatCode="_(* #,##0_);_(* \(#,##0\);_(* &quot;-&quot;??_);_(@_)"/>
    <numFmt numFmtId="176" formatCode="0%_);\(0%\)"/>
    <numFmt numFmtId="177" formatCode="0.000"/>
    <numFmt numFmtId="178" formatCode="_ * #,##0.0_ ;_ * \-#,##0.0_ ;_ * &quot;-&quot;?_ ;_ @_ "/>
    <numFmt numFmtId="179" formatCode="\-"/>
    <numFmt numFmtId="180" formatCode="_-[$€-2]\ * #,##0.00_-;\-[$€-2]\ * #,##0.00_-;_-[$€-2]\ * &quot;-&quot;??_-"/>
    <numFmt numFmtId="181" formatCode="#,##0.0"/>
    <numFmt numFmtId="182" formatCode="_-* #,##0.0_-;\-* #,##0.0_-;_-* &quot;-&quot;?_-;_-@_-"/>
    <numFmt numFmtId="183" formatCode="_-* #,##0_-;\-* #,##0_-;_-* &quot;-&quot;??_-;_-@_-"/>
    <numFmt numFmtId="184" formatCode="General_)"/>
    <numFmt numFmtId="185" formatCode="#,##0_);\(#,##0\);&quot;-       &quot;"/>
    <numFmt numFmtId="186" formatCode="0.000_)"/>
    <numFmt numFmtId="187" formatCode="#,##0_)_%;\(#,##0\)_%;"/>
    <numFmt numFmtId="188" formatCode="_._.* #,##0.0_)_%;_._.* \(#,##0.0\)_%;_._.* \ .0_)_%"/>
    <numFmt numFmtId="189" formatCode="#,##0.0_)_%;\(#,##0.0\)_%;\ \ .0_)_%"/>
    <numFmt numFmtId="190" formatCode="_._.* #,##0.0_)_%;_._.* \(#,##0.0\)_%"/>
    <numFmt numFmtId="191" formatCode="#,##0.00_)_%;\(#,##0.00\)_%;\ \ .00_)_%"/>
    <numFmt numFmtId="192" formatCode="_._.* #,##0.00_)_%;_._.* \(#,##0.00\)_%"/>
    <numFmt numFmtId="193" formatCode="_._.* #,##0.000_)_%;_._.* \(#,##0.000\)_%;_._.* \ .000_)_%"/>
    <numFmt numFmtId="194" formatCode="#,##0.000_)_%;\(#,##0.000\)_%;\ \ .000_)_%"/>
    <numFmt numFmtId="195" formatCode="_._.* #,##0.000_)_%;_._.* \(#,##0.000\)_%"/>
    <numFmt numFmtId="196" formatCode="mmmm\ d\,\ yyyy"/>
    <numFmt numFmtId="197" formatCode="_ * #,##0_ ;_ * \-#,##0_ ;_ * &quot;-&quot;??_ ;_ @_ "/>
    <numFmt numFmtId="198" formatCode="#,##0.0000_);\(#,##0.0000\);&quot;-            &quot;"/>
    <numFmt numFmtId="199" formatCode="0.00000000000"/>
    <numFmt numFmtId="200" formatCode="_._.* \(#,##0\)_%;_._.* #,##0_)_%;_._.* 0_)_%;_._.@_)_%"/>
    <numFmt numFmtId="201" formatCode="_._.&quot;$&quot;* \(#,##0\)_%;_._.&quot;$&quot;* #,##0_)_%;_._.&quot;$&quot;* 0_)_%;_._.@_)_%"/>
    <numFmt numFmtId="202" formatCode="* \(#,##0\);* #,##0_);&quot;-&quot;??_);@"/>
    <numFmt numFmtId="203" formatCode="&quot;$&quot;* #,##0_)_%;&quot;$&quot;* \(#,##0\)_%;&quot;$&quot;* &quot;-&quot;??_)_%;@_)_%"/>
    <numFmt numFmtId="204" formatCode="_._.&quot;$&quot;* #,##0.0_)_%;_._.&quot;$&quot;* \(#,##0.0\)_%;_._.&quot;$&quot;* \ .0_)_%"/>
    <numFmt numFmtId="205" formatCode="&quot;$&quot;* #,##0.0_)_%;&quot;$&quot;* \(#,##0.0\)_%;&quot;$&quot;* \ .0_)_%"/>
    <numFmt numFmtId="206" formatCode="_._.&quot;$&quot;* #,##0.0_)_%;_._.&quot;$&quot;* \(#,##0.0\)_%"/>
    <numFmt numFmtId="207" formatCode="&quot;$&quot;* #,##0.00_);&quot;$&quot;* \(#,##0.00\)"/>
    <numFmt numFmtId="208" formatCode="&quot;$&quot;* #,##0.00_)_%;&quot;$&quot;* \(#,##0.00\)_%;&quot;$&quot;* \ .00_)_%"/>
    <numFmt numFmtId="209" formatCode="_._.&quot;$&quot;* #,##0.00_)_%;_._.&quot;$&quot;* \(#,##0.00\)_%"/>
    <numFmt numFmtId="210" formatCode="_._.&quot;$&quot;* #,##0.000_)_%;_._.&quot;$&quot;* \(#,##0.000\)_%;_._.&quot;$&quot;* \ .000_)_%"/>
    <numFmt numFmtId="211" formatCode="&quot;$&quot;* #,##0.000_)_%;&quot;$&quot;* \(#,##0.000\)_%;&quot;$&quot;* \ .000_)_%"/>
    <numFmt numFmtId="212" formatCode="_._.&quot;$&quot;* #,##0.000_)_%;_._.&quot;$&quot;* \(#,##0.000\)_%"/>
    <numFmt numFmtId="213" formatCode="&quot;$&quot;#,##0\ ;\(&quot;$&quot;#,##0\)"/>
    <numFmt numFmtId="214" formatCode="* #,##0_);* \(#,##0\);&quot;-&quot;??_);@"/>
    <numFmt numFmtId="215" formatCode="&quot;$&quot;#,##0"/>
    <numFmt numFmtId="216" formatCode="#."/>
    <numFmt numFmtId="217" formatCode="_ [$€-2]\ * #,##0.00_ ;_ [$€-2]\ * \-#,##0.00_ ;_ [$€-2]\ * &quot;-&quot;??_ "/>
    <numFmt numFmtId="218" formatCode="\ "/>
    <numFmt numFmtId="219" formatCode="#,##0\ &quot;pta&quot;;\-#,##0\ &quot;pta&quot;"/>
    <numFmt numFmtId="220" formatCode="\$#.00"/>
    <numFmt numFmtId="221" formatCode="0.00_)"/>
    <numFmt numFmtId="222" formatCode="_(0_)%;\(0\)%;\ \ _)\%"/>
    <numFmt numFmtId="223" formatCode="_._._(* 0_)%;_._.\(* 0\)%;_._._(* \ _)\%"/>
    <numFmt numFmtId="224" formatCode="0_)%;\(0\)%"/>
    <numFmt numFmtId="225" formatCode="_(0.0_)%;\(0.0\)%;\ \ .0_)%"/>
    <numFmt numFmtId="226" formatCode="_._._(* 0.0_)%;_._.\(* 0.0\)%;_._._(* \ .0_)%"/>
    <numFmt numFmtId="227" formatCode="_(0.0_)%;\(0.0\)%"/>
    <numFmt numFmtId="228" formatCode="_(0.00_)%;\(0.00\)%;\ \ .00_)%"/>
    <numFmt numFmtId="229" formatCode="_._._(* 0.00_)%;_._.\(* 0.00\)%;_._._(* \ .00_)%"/>
    <numFmt numFmtId="230" formatCode="_(0.00_)%;\(0.00\)%"/>
    <numFmt numFmtId="231" formatCode="_(0.000_)%;\(0.000\)%;\ \ .000_)%"/>
    <numFmt numFmtId="232" formatCode="_._._(* 0.000_)%;_._.\(* 0.000\)%;_._._(* \ .000_)%"/>
    <numFmt numFmtId="233" formatCode="_(0.000_)%;\(0.000\)%"/>
    <numFmt numFmtId="234" formatCode="%#.00"/>
    <numFmt numFmtId="235" formatCode="_-* #,##0\ &quot;Pts&quot;_-;\-* #,##0\ &quot;Pts&quot;_-;_-* &quot;-&quot;\ &quot;Pts&quot;_-;_-@_-"/>
    <numFmt numFmtId="236" formatCode="_-* #,##0.00\ &quot;Pts&quot;_-;\-* #,##0.00\ &quot;Pts&quot;_-;_-* &quot;-&quot;??\ &quot;Pts&quot;_-;_-@_-"/>
    <numFmt numFmtId="237" formatCode="_(* #,##0_);_(* \(#,##0\);_(* \ _)"/>
    <numFmt numFmtId="238" formatCode="_(* #,##0.0_);_(* \(#,##0.0\);_(* \ .0_)"/>
    <numFmt numFmtId="239" formatCode="_(* #,##0.00_);_(* \(#,##0.00\);_(* \ .00_)"/>
    <numFmt numFmtId="240" formatCode="_(* #,##0.000_);_(* \(#,##0.000\);_(* \ .000_)"/>
    <numFmt numFmtId="241" formatCode="_(&quot;$&quot;* #,##0_);_(&quot;$&quot;* \(#,##0\);_(&quot;$&quot;* \ _)"/>
    <numFmt numFmtId="242" formatCode="_(&quot;$&quot;* #,##0.0_);_(&quot;$&quot;* \(#,##0.0\);_(&quot;$&quot;* \ .0_)"/>
    <numFmt numFmtId="243" formatCode="_(&quot;$&quot;* #,##0.00_);_(&quot;$&quot;* \(#,##0.00\);_(&quot;$&quot;* \ .00_)"/>
    <numFmt numFmtId="244" formatCode="_(&quot;$&quot;* #,##0.000_);_(&quot;$&quot;* \(#,##0.000\);_(&quot;$&quot;* \ .000_)"/>
    <numFmt numFmtId="245" formatCode="_(* #,##0.0_);_(* \(#,##0.0\);_(* &quot;-&quot;?_);_(@_)"/>
    <numFmt numFmtId="246" formatCode="_ * #,##0.0_ ;_ * \-#,##0.0_ ;_ * &quot;-&quot;??_ ;_ @_ "/>
  </numFmts>
  <fonts count="87">
    <font>
      <sz val="11"/>
      <color theme="1"/>
      <name val="Calibri"/>
      <family val="2"/>
      <scheme val="minor"/>
    </font>
    <font>
      <sz val="11"/>
      <color theme="1"/>
      <name val="Calibri"/>
      <family val="2"/>
      <scheme val="minor"/>
    </font>
    <font>
      <sz val="10"/>
      <color theme="1" tint="0.34998626667073579"/>
      <name val="Trebuchet MS"/>
      <family val="2"/>
    </font>
    <font>
      <sz val="8"/>
      <color theme="1"/>
      <name val="Arial"/>
      <family val="2"/>
    </font>
    <font>
      <b/>
      <sz val="10"/>
      <color theme="0"/>
      <name val="Trebuchet MS"/>
      <family val="2"/>
    </font>
    <font>
      <b/>
      <sz val="18"/>
      <color theme="0"/>
      <name val="Calibri"/>
      <family val="2"/>
      <scheme val="minor"/>
    </font>
    <font>
      <b/>
      <sz val="10"/>
      <color theme="1" tint="0.34998626667073579"/>
      <name val="Trebuchet MS"/>
      <family val="2"/>
    </font>
    <font>
      <sz val="12"/>
      <name val="Times New Roman"/>
      <family val="1"/>
    </font>
    <font>
      <sz val="10"/>
      <name val="Arial"/>
      <family val="2"/>
    </font>
    <font>
      <sz val="10"/>
      <color theme="1"/>
      <name val="Trebuchet MS"/>
      <family val="2"/>
    </font>
    <font>
      <sz val="10"/>
      <color theme="0" tint="-0.249977111117893"/>
      <name val="Trebuchet MS"/>
      <family val="2"/>
    </font>
    <font>
      <sz val="11"/>
      <color theme="1" tint="0.34998626667073579"/>
      <name val="Trebuchet MS"/>
      <family val="2"/>
    </font>
    <font>
      <sz val="9"/>
      <color theme="1" tint="0.34998626667073579"/>
      <name val="Trebuchet MS"/>
      <family val="2"/>
    </font>
    <font>
      <sz val="11"/>
      <color indexed="8"/>
      <name val="Calibri"/>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color indexed="9"/>
      <name val="Czcionka tekstu podstawowego"/>
      <family val="2"/>
      <charset val="238"/>
    </font>
    <font>
      <b/>
      <sz val="10"/>
      <name val="Verdana"/>
      <family val="2"/>
    </font>
    <font>
      <sz val="10"/>
      <name val="Courier"/>
      <family val="3"/>
    </font>
    <font>
      <sz val="11"/>
      <color indexed="9"/>
      <name val="Calibri"/>
      <family val="2"/>
    </font>
    <font>
      <sz val="11"/>
      <color indexed="20"/>
      <name val="Calibri"/>
      <family val="2"/>
    </font>
    <font>
      <b/>
      <sz val="18"/>
      <name val="Helv"/>
    </font>
    <font>
      <b/>
      <sz val="18"/>
      <color indexed="22"/>
      <name val="Arial"/>
      <family val="2"/>
    </font>
    <font>
      <b/>
      <sz val="12"/>
      <color indexed="22"/>
      <name val="Arial"/>
      <family val="2"/>
    </font>
    <font>
      <b/>
      <sz val="11"/>
      <color indexed="52"/>
      <name val="Calibri"/>
      <family val="2"/>
    </font>
    <font>
      <b/>
      <sz val="10"/>
      <name val="Arial"/>
      <family val="2"/>
    </font>
    <font>
      <b/>
      <sz val="11"/>
      <name val="Arial"/>
      <family val="2"/>
    </font>
    <font>
      <b/>
      <sz val="11"/>
      <color indexed="9"/>
      <name val="Calibri"/>
      <family val="2"/>
    </font>
    <font>
      <b/>
      <sz val="8"/>
      <name val="Arial"/>
      <family val="2"/>
    </font>
    <font>
      <sz val="11"/>
      <name val="Tms Rmn"/>
      <family val="1"/>
    </font>
    <font>
      <sz val="11"/>
      <name val="Times New Roman"/>
      <family val="1"/>
    </font>
    <font>
      <sz val="9"/>
      <name val="Arial"/>
      <family val="2"/>
    </font>
    <font>
      <sz val="11"/>
      <name val="New Times Roman"/>
    </font>
    <font>
      <u val="singleAccounting"/>
      <sz val="11"/>
      <name val="Times New Roman"/>
      <family val="1"/>
    </font>
    <font>
      <sz val="10"/>
      <name val="Times New Roman"/>
      <family val="1"/>
    </font>
    <font>
      <sz val="10"/>
      <color indexed="22"/>
      <name val="Arial"/>
      <family val="2"/>
    </font>
    <font>
      <b/>
      <sz val="14"/>
      <name val="Arial"/>
      <family val="2"/>
    </font>
    <font>
      <sz val="11"/>
      <color indexed="12"/>
      <name val="Times New Roman"/>
      <family val="1"/>
    </font>
    <font>
      <sz val="1"/>
      <color indexed="8"/>
      <name val="Courier"/>
      <family val="3"/>
    </font>
    <font>
      <b/>
      <sz val="1"/>
      <color indexed="8"/>
      <name val="Courier"/>
      <family val="3"/>
    </font>
    <font>
      <b/>
      <sz val="12"/>
      <name val="Arial"/>
      <family val="2"/>
    </font>
    <font>
      <i/>
      <sz val="11"/>
      <color indexed="23"/>
      <name val="Calibri"/>
      <family val="2"/>
    </font>
    <font>
      <sz val="11"/>
      <color indexed="17"/>
      <name val="Calibri"/>
      <family val="2"/>
    </font>
    <font>
      <sz val="8"/>
      <name val="Arial"/>
      <family val="2"/>
    </font>
    <font>
      <b/>
      <sz val="12"/>
      <name val="Verdana"/>
      <family val="2"/>
    </font>
    <font>
      <b/>
      <sz val="11"/>
      <color indexed="56"/>
      <name val="Calibri"/>
      <family val="2"/>
    </font>
    <font>
      <sz val="11"/>
      <color indexed="62"/>
      <name val="Calibri"/>
      <family val="2"/>
    </font>
    <font>
      <sz val="12"/>
      <name val="Helv"/>
    </font>
    <font>
      <sz val="11"/>
      <color indexed="52"/>
      <name val="Calibri"/>
      <family val="2"/>
    </font>
    <font>
      <sz val="8"/>
      <color indexed="18"/>
      <name val="Verdana"/>
      <family val="2"/>
    </font>
    <font>
      <sz val="8"/>
      <name val="Verdana"/>
      <family val="2"/>
    </font>
    <font>
      <b/>
      <i/>
      <sz val="16"/>
      <name val="Helv"/>
    </font>
    <font>
      <b/>
      <sz val="11"/>
      <color indexed="63"/>
      <name val="Calibri"/>
      <family val="2"/>
    </font>
    <font>
      <sz val="10"/>
      <name val="Helv"/>
    </font>
    <font>
      <sz val="18"/>
      <color indexed="8"/>
      <name val="Tms Rmn"/>
    </font>
    <font>
      <sz val="10"/>
      <name val="MS Sans Serif"/>
      <family val="2"/>
    </font>
    <font>
      <b/>
      <sz val="10"/>
      <name val="MS Sans Serif"/>
      <family val="2"/>
    </font>
    <font>
      <sz val="9"/>
      <name val="Helv"/>
    </font>
    <font>
      <b/>
      <sz val="10"/>
      <color indexed="10"/>
      <name val="Arial"/>
      <family val="2"/>
    </font>
    <font>
      <b/>
      <sz val="18"/>
      <color indexed="56"/>
      <name val="Cambria"/>
      <family val="2"/>
    </font>
    <font>
      <sz val="11"/>
      <color indexed="10"/>
      <name val="Calibri"/>
      <family val="2"/>
    </font>
    <font>
      <sz val="8"/>
      <color indexed="72"/>
      <name val="MS Sans Serif"/>
      <family val="2"/>
    </font>
    <font>
      <sz val="11"/>
      <name val="Arial"/>
      <family val="2"/>
    </font>
    <font>
      <sz val="11"/>
      <color indexed="60"/>
      <name val="Calibri"/>
      <family val="2"/>
    </font>
    <font>
      <b/>
      <sz val="11"/>
      <color indexed="8"/>
      <name val="Calibri"/>
      <family val="2"/>
    </font>
    <font>
      <sz val="11"/>
      <name val="Calibri"/>
      <family val="2"/>
    </font>
    <font>
      <sz val="10"/>
      <name val="Bookman Old Style"/>
      <family val="1"/>
    </font>
    <font>
      <sz val="10"/>
      <color theme="0"/>
      <name val="Trebuchet MS"/>
      <family val="2"/>
    </font>
    <font>
      <sz val="10"/>
      <color rgb="FF595959"/>
      <name val="Trebuchet MS"/>
      <family val="2"/>
    </font>
    <font>
      <b/>
      <sz val="10"/>
      <color theme="0" tint="-0.249977111117893"/>
      <name val="Trebuchet MS"/>
      <family val="2"/>
    </font>
  </fonts>
  <fills count="6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4"/>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0"/>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26"/>
      </patternFill>
    </fill>
    <fill>
      <patternFill patternType="mediumGray">
        <fgColor indexed="22"/>
      </patternFill>
    </fill>
    <fill>
      <patternFill patternType="solid">
        <fgColor indexed="43"/>
      </patternFill>
    </fill>
    <fill>
      <patternFill patternType="solid">
        <fgColor rgb="FFFFFFFF"/>
        <bgColor rgb="FF000000"/>
      </patternFill>
    </fill>
    <fill>
      <patternFill patternType="solid">
        <fgColor theme="0"/>
        <bgColor rgb="FF000000"/>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thin">
        <color indexed="64"/>
      </top>
      <bottom style="double">
        <color indexed="64"/>
      </bottom>
      <diagonal/>
    </border>
    <border>
      <left/>
      <right/>
      <top/>
      <bottom style="medium">
        <color indexed="6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21"/>
      </top>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right/>
      <top/>
      <bottom style="medium">
        <color indexed="30"/>
      </bottom>
      <diagonal/>
    </border>
    <border>
      <left/>
      <right/>
      <top style="medium">
        <color indexed="64"/>
      </top>
      <bottom style="medium">
        <color indexed="64"/>
      </bottom>
      <diagonal/>
    </border>
    <border>
      <left/>
      <right/>
      <top/>
      <bottom style="medium">
        <color indexed="64"/>
      </bottom>
      <diagonal/>
    </border>
    <border>
      <left/>
      <right/>
      <top/>
      <bottom style="medium">
        <color indexed="30"/>
      </bottom>
      <diagonal/>
    </border>
    <border>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medium">
        <color indexed="64"/>
      </bottom>
      <diagonal/>
    </border>
  </borders>
  <cellStyleXfs count="5203">
    <xf numFmtId="0" fontId="0" fillId="0" borderId="0"/>
    <xf numFmtId="165" fontId="1" fillId="0" borderId="0" applyFont="0" applyFill="0" applyBorder="0" applyAlignment="0" applyProtection="0"/>
    <xf numFmtId="9" fontId="1" fillId="0" borderId="0" applyFont="0" applyFill="0" applyBorder="0" applyAlignment="0" applyProtection="0"/>
    <xf numFmtId="0" fontId="3" fillId="0" borderId="0"/>
    <xf numFmtId="169" fontId="8" fillId="0" borderId="0" applyFont="0" applyFill="0" applyBorder="0" applyAlignment="0" applyProtection="0"/>
    <xf numFmtId="169" fontId="1" fillId="0" borderId="0" applyFont="0" applyFill="0" applyBorder="0" applyAlignment="0" applyProtection="0"/>
    <xf numFmtId="0" fontId="8" fillId="0" borderId="0"/>
    <xf numFmtId="169" fontId="8" fillId="0" borderId="0" applyFont="0" applyFill="0" applyBorder="0" applyAlignment="0" applyProtection="0"/>
    <xf numFmtId="166" fontId="1" fillId="0" borderId="0" applyFont="0" applyFill="0" applyBorder="0" applyAlignment="0" applyProtection="0"/>
    <xf numFmtId="0" fontId="8" fillId="0" borderId="0"/>
    <xf numFmtId="180"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0" fontId="1" fillId="0" borderId="0"/>
    <xf numFmtId="0" fontId="8" fillId="0" borderId="0"/>
    <xf numFmtId="0" fontId="1" fillId="0" borderId="0"/>
    <xf numFmtId="0" fontId="8" fillId="0" borderId="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8" fillId="0" borderId="0"/>
    <xf numFmtId="169" fontId="8" fillId="0" borderId="0" applyFont="0" applyFill="0" applyBorder="0" applyAlignment="0" applyProtection="0"/>
    <xf numFmtId="0" fontId="1" fillId="0" borderId="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8" borderId="0" applyNumberFormat="0" applyBorder="0" applyAlignment="0" applyProtection="0"/>
    <xf numFmtId="0" fontId="20" fillId="9" borderId="0" applyNumberFormat="0" applyBorder="0" applyAlignment="0" applyProtection="0"/>
    <xf numFmtId="0" fontId="22" fillId="11" borderId="4" applyNumberFormat="0" applyAlignment="0" applyProtection="0"/>
    <xf numFmtId="0" fontId="23" fillId="12" borderId="5" applyNumberFormat="0" applyAlignment="0" applyProtection="0"/>
    <xf numFmtId="0" fontId="24" fillId="12" borderId="4" applyNumberFormat="0" applyAlignment="0" applyProtection="0"/>
    <xf numFmtId="0" fontId="25" fillId="0" borderId="6" applyNumberFormat="0" applyFill="0" applyAlignment="0" applyProtection="0"/>
    <xf numFmtId="0" fontId="26" fillId="13" borderId="7" applyNumberFormat="0" applyAlignment="0" applyProtection="0"/>
    <xf numFmtId="0" fontId="27" fillId="0" borderId="0" applyNumberFormat="0" applyFill="0" applyBorder="0" applyAlignment="0" applyProtection="0"/>
    <xf numFmtId="0" fontId="1" fillId="14" borderId="8" applyNumberFormat="0" applyFon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1" fillId="0" borderId="0" applyNumberFormat="0" applyFill="0" applyBorder="0" applyAlignment="0" applyProtection="0"/>
    <xf numFmtId="0" fontId="16" fillId="0" borderId="1" applyNumberFormat="0" applyFill="0" applyAlignment="0" applyProtection="0"/>
    <xf numFmtId="0" fontId="32" fillId="10"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30" fillId="34" borderId="0" applyNumberFormat="0" applyBorder="0" applyAlignment="0" applyProtection="0"/>
    <xf numFmtId="0" fontId="30" fillId="38" borderId="0" applyNumberFormat="0" applyBorder="0" applyAlignment="0" applyProtection="0"/>
    <xf numFmtId="0" fontId="33" fillId="39" borderId="0" applyNumberFormat="0" applyBorder="0" applyAlignment="0" applyProtection="0"/>
    <xf numFmtId="0" fontId="7" fillId="0" borderId="0"/>
    <xf numFmtId="0" fontId="8" fillId="0" borderId="0"/>
    <xf numFmtId="0" fontId="35" fillId="0" borderId="0"/>
    <xf numFmtId="0" fontId="13"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3" fillId="44"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36" fillId="39"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5" fillId="0" borderId="0"/>
    <xf numFmtId="0" fontId="36"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7" borderId="0" applyNumberFormat="0" applyBorder="0" applyAlignment="0" applyProtection="0"/>
    <xf numFmtId="0" fontId="37" fillId="42" borderId="0" applyNumberFormat="0" applyBorder="0" applyAlignment="0" applyProtection="0"/>
    <xf numFmtId="0" fontId="38" fillId="0" borderId="0"/>
    <xf numFmtId="0" fontId="39" fillId="0" borderId="0" applyNumberFormat="0" applyFill="0" applyBorder="0" applyAlignment="0" applyProtection="0"/>
    <xf numFmtId="0" fontId="40" fillId="0" borderId="0" applyNumberFormat="0" applyFill="0" applyBorder="0" applyAlignment="0" applyProtection="0"/>
    <xf numFmtId="0" fontId="41" fillId="58" borderId="15" applyNumberFormat="0" applyAlignment="0" applyProtection="0"/>
    <xf numFmtId="0" fontId="42" fillId="0" borderId="0" applyFill="0" applyBorder="0" applyProtection="0">
      <alignment horizontal="center"/>
      <protection locked="0"/>
    </xf>
    <xf numFmtId="0" fontId="43" fillId="0" borderId="0" applyFill="0" applyBorder="0" applyProtection="0">
      <alignment horizontal="center"/>
    </xf>
    <xf numFmtId="0" fontId="44" fillId="59" borderId="16" applyNumberFormat="0" applyAlignment="0" applyProtection="0"/>
    <xf numFmtId="0" fontId="45" fillId="0" borderId="13">
      <alignment horizontal="center"/>
    </xf>
    <xf numFmtId="186" fontId="46" fillId="0" borderId="0"/>
    <xf numFmtId="186" fontId="46" fillId="0" borderId="0"/>
    <xf numFmtId="186" fontId="46" fillId="0" borderId="0"/>
    <xf numFmtId="186" fontId="46" fillId="0" borderId="0"/>
    <xf numFmtId="186" fontId="46" fillId="0" borderId="0"/>
    <xf numFmtId="186" fontId="46" fillId="0" borderId="0"/>
    <xf numFmtId="186" fontId="46" fillId="0" borderId="0"/>
    <xf numFmtId="186" fontId="46" fillId="0" borderId="0"/>
    <xf numFmtId="187" fontId="8" fillId="0" borderId="0" applyFont="0" applyFill="0" applyBorder="0" applyAlignment="0" applyProtection="0"/>
    <xf numFmtId="188" fontId="47" fillId="0" borderId="0" applyFont="0" applyFill="0" applyBorder="0" applyAlignment="0" applyProtection="0"/>
    <xf numFmtId="189" fontId="48" fillId="0" borderId="0" applyFont="0" applyFill="0" applyBorder="0" applyAlignment="0" applyProtection="0"/>
    <xf numFmtId="190" fontId="47" fillId="0" borderId="0" applyFont="0" applyFill="0" applyBorder="0" applyAlignment="0" applyProtection="0"/>
    <xf numFmtId="39" fontId="49" fillId="0" borderId="0" applyFont="0" applyFill="0" applyBorder="0" applyAlignment="0" applyProtection="0"/>
    <xf numFmtId="191" fontId="48" fillId="0" borderId="0" applyFont="0" applyFill="0" applyBorder="0" applyAlignment="0" applyProtection="0"/>
    <xf numFmtId="192" fontId="50" fillId="0" borderId="0" applyFont="0" applyFill="0" applyBorder="0" applyAlignment="0" applyProtection="0"/>
    <xf numFmtId="193" fontId="50" fillId="0" borderId="0" applyFont="0" applyFill="0" applyBorder="0" applyAlignment="0" applyProtection="0"/>
    <xf numFmtId="194" fontId="48" fillId="0" borderId="0" applyFont="0" applyFill="0" applyBorder="0" applyAlignment="0" applyProtection="0"/>
    <xf numFmtId="195" fontId="50"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83" fontId="8" fillId="0" borderId="0" applyFont="0" applyFill="0" applyBorder="0" applyAlignment="0" applyProtection="0"/>
    <xf numFmtId="166" fontId="13" fillId="0" borderId="0" applyFont="0" applyFill="0" applyBorder="0" applyAlignment="0" applyProtection="0"/>
    <xf numFmtId="169" fontId="8" fillId="0" borderId="0" applyFont="0" applyFill="0" applyBorder="0" applyAlignment="0" applyProtection="0"/>
    <xf numFmtId="166" fontId="13"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6" fontId="13" fillId="0" borderId="0" applyFont="0" applyFill="0" applyBorder="0" applyAlignment="0" applyProtection="0"/>
    <xf numFmtId="185" fontId="8" fillId="0" borderId="0" applyFont="0" applyFill="0" applyBorder="0" applyAlignment="0" applyProtection="0"/>
    <xf numFmtId="197" fontId="8" fillId="0" borderId="0" applyFont="0" applyFill="0" applyBorder="0" applyAlignment="0" applyProtection="0"/>
    <xf numFmtId="198" fontId="7" fillId="0" borderId="0" applyFont="0" applyFill="0" applyBorder="0" applyAlignment="0" applyProtection="0"/>
    <xf numFmtId="196" fontId="7" fillId="0" borderId="0" applyFont="0" applyFill="0" applyBorder="0" applyAlignment="0" applyProtection="0"/>
    <xf numFmtId="166" fontId="51" fillId="0" borderId="0" applyFont="0" applyFill="0" applyBorder="0" applyAlignment="0" applyProtection="0"/>
    <xf numFmtId="199" fontId="7" fillId="0" borderId="0" applyFont="0" applyFill="0" applyBorder="0" applyAlignment="0" applyProtection="0"/>
    <xf numFmtId="197" fontId="8" fillId="0" borderId="0" applyFont="0" applyFill="0" applyBorder="0" applyAlignment="0" applyProtection="0"/>
    <xf numFmtId="184" fontId="8" fillId="0" borderId="0" applyFont="0" applyFill="0" applyBorder="0" applyAlignment="0" applyProtection="0"/>
    <xf numFmtId="166" fontId="13"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3" fontId="52" fillId="0" borderId="0" applyFont="0" applyFill="0" applyBorder="0" applyAlignment="0" applyProtection="0"/>
    <xf numFmtId="0" fontId="53" fillId="0" borderId="0" applyFill="0" applyBorder="0" applyAlignment="0" applyProtection="0">
      <protection locked="0"/>
    </xf>
    <xf numFmtId="200" fontId="54" fillId="0" borderId="0" applyFill="0" applyBorder="0" applyProtection="0"/>
    <xf numFmtId="201" fontId="47" fillId="0" borderId="0" applyFont="0" applyFill="0" applyBorder="0" applyAlignment="0" applyProtection="0"/>
    <xf numFmtId="202" fontId="51" fillId="0" borderId="0" applyFill="0" applyBorder="0" applyProtection="0"/>
    <xf numFmtId="202" fontId="51" fillId="0" borderId="17" applyFill="0" applyProtection="0"/>
    <xf numFmtId="202" fontId="51" fillId="0" borderId="18" applyFill="0" applyProtection="0"/>
    <xf numFmtId="203" fontId="8" fillId="0" borderId="0" applyFont="0" applyFill="0" applyBorder="0" applyAlignment="0" applyProtection="0"/>
    <xf numFmtId="204" fontId="50" fillId="0" borderId="0" applyFont="0" applyFill="0" applyBorder="0" applyAlignment="0" applyProtection="0"/>
    <xf numFmtId="205" fontId="48" fillId="0" borderId="0" applyFont="0" applyFill="0" applyBorder="0" applyAlignment="0" applyProtection="0"/>
    <xf numFmtId="206" fontId="50" fillId="0" borderId="0" applyFont="0" applyFill="0" applyBorder="0" applyAlignment="0" applyProtection="0"/>
    <xf numFmtId="207" fontId="49" fillId="0" borderId="0" applyFont="0" applyFill="0" applyBorder="0" applyAlignment="0" applyProtection="0"/>
    <xf numFmtId="208" fontId="48" fillId="0" borderId="0" applyFont="0" applyFill="0" applyBorder="0" applyAlignment="0" applyProtection="0"/>
    <xf numFmtId="209" fontId="50" fillId="0" borderId="0" applyFont="0" applyFill="0" applyBorder="0" applyAlignment="0" applyProtection="0"/>
    <xf numFmtId="210" fontId="50" fillId="0" borderId="0" applyFont="0" applyFill="0" applyBorder="0" applyAlignment="0" applyProtection="0"/>
    <xf numFmtId="211" fontId="48" fillId="0" borderId="0" applyFont="0" applyFill="0" applyBorder="0" applyAlignment="0" applyProtection="0"/>
    <xf numFmtId="212" fontId="50" fillId="0" borderId="0" applyFont="0" applyFill="0" applyBorder="0" applyAlignment="0" applyProtection="0"/>
    <xf numFmtId="213" fontId="52" fillId="0" borderId="0" applyFont="0" applyFill="0" applyBorder="0" applyAlignment="0" applyProtection="0"/>
    <xf numFmtId="0" fontId="52" fillId="0" borderId="0" applyFont="0" applyFill="0" applyBorder="0" applyAlignment="0" applyProtection="0"/>
    <xf numFmtId="214" fontId="51" fillId="0" borderId="0" applyFill="0" applyBorder="0" applyProtection="0"/>
    <xf numFmtId="214" fontId="51" fillId="0" borderId="17" applyFill="0" applyProtection="0"/>
    <xf numFmtId="214" fontId="51" fillId="0" borderId="18" applyFill="0" applyProtection="0"/>
    <xf numFmtId="175" fontId="8" fillId="0" borderId="0" applyFont="0" applyFill="0" applyBorder="0" applyAlignment="0" applyProtection="0"/>
    <xf numFmtId="215" fontId="8" fillId="0" borderId="0" applyFont="0" applyFill="0" applyBorder="0" applyAlignment="0" applyProtection="0"/>
    <xf numFmtId="0" fontId="55" fillId="0" borderId="0">
      <protection locked="0"/>
    </xf>
    <xf numFmtId="216" fontId="56" fillId="0" borderId="0">
      <protection locked="0"/>
    </xf>
    <xf numFmtId="216" fontId="56" fillId="0" borderId="0">
      <protection locked="0"/>
    </xf>
    <xf numFmtId="0" fontId="57" fillId="0" borderId="0" applyNumberFormat="0" applyFill="0" applyBorder="0" applyAlignment="0" applyProtection="0"/>
    <xf numFmtId="217" fontId="8" fillId="0" borderId="0" applyFont="0" applyFill="0" applyBorder="0" applyAlignment="0" applyProtection="0"/>
    <xf numFmtId="0" fontId="58" fillId="0" borderId="0" applyNumberFormat="0" applyFill="0" applyBorder="0" applyAlignment="0" applyProtection="0"/>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2" fillId="0" borderId="0" applyFont="0" applyFill="0" applyBorder="0" applyAlignment="0" applyProtection="0"/>
    <xf numFmtId="2" fontId="52" fillId="0" borderId="0" applyFont="0" applyFill="0" applyBorder="0" applyAlignment="0" applyProtection="0"/>
    <xf numFmtId="4" fontId="55" fillId="0" borderId="0">
      <protection locked="0"/>
    </xf>
    <xf numFmtId="2" fontId="52" fillId="0" borderId="0" applyFont="0" applyFill="0" applyBorder="0" applyAlignment="0" applyProtection="0"/>
    <xf numFmtId="0" fontId="59" fillId="43" borderId="0" applyNumberFormat="0" applyBorder="0" applyAlignment="0" applyProtection="0"/>
    <xf numFmtId="38" fontId="60" fillId="60" borderId="0" applyNumberFormat="0" applyBorder="0" applyAlignment="0" applyProtection="0"/>
    <xf numFmtId="0" fontId="61" fillId="60" borderId="0" applyNumberFormat="0" applyBorder="0" applyAlignment="0" applyProtection="0"/>
    <xf numFmtId="0" fontId="57" fillId="0" borderId="10" applyNumberFormat="0" applyAlignment="0" applyProtection="0">
      <alignment horizontal="left" vertical="center"/>
    </xf>
    <xf numFmtId="0" fontId="57" fillId="0" borderId="12">
      <alignment horizontal="left" vertical="center"/>
    </xf>
    <xf numFmtId="14" fontId="42" fillId="61" borderId="19">
      <alignment horizontal="center" vertical="center" wrapText="1"/>
    </xf>
    <xf numFmtId="0" fontId="39" fillId="0" borderId="0" applyNumberFormat="0" applyFill="0" applyBorder="0" applyAlignment="0" applyProtection="0"/>
    <xf numFmtId="0" fontId="40" fillId="0" borderId="0" applyNumberFormat="0" applyFill="0" applyBorder="0" applyAlignment="0" applyProtection="0"/>
    <xf numFmtId="0" fontId="62" fillId="0" borderId="20" applyNumberFormat="0" applyFill="0" applyAlignment="0" applyProtection="0"/>
    <xf numFmtId="0" fontId="62" fillId="0" borderId="0" applyNumberFormat="0" applyFill="0" applyBorder="0" applyAlignment="0" applyProtection="0"/>
    <xf numFmtId="0" fontId="43" fillId="0" borderId="0" applyFill="0" applyAlignment="0" applyProtection="0">
      <protection locked="0"/>
    </xf>
    <xf numFmtId="0" fontId="43" fillId="0" borderId="11" applyFill="0" applyAlignment="0" applyProtection="0">
      <protection locked="0"/>
    </xf>
    <xf numFmtId="0" fontId="8" fillId="0" borderId="0">
      <protection locked="0"/>
    </xf>
    <xf numFmtId="0" fontId="8" fillId="0" borderId="0">
      <protection locked="0"/>
    </xf>
    <xf numFmtId="10" fontId="60" fillId="62" borderId="14" applyNumberFormat="0" applyBorder="0" applyAlignment="0" applyProtection="0"/>
    <xf numFmtId="0" fontId="63" fillId="46" borderId="15" applyNumberFormat="0" applyAlignment="0" applyProtection="0"/>
    <xf numFmtId="218" fontId="64" fillId="40" borderId="0" applyFont="0" applyFill="0" applyBorder="0" applyAlignment="0" applyProtection="0">
      <alignment horizontal="center"/>
    </xf>
    <xf numFmtId="0" fontId="65" fillId="0" borderId="21" applyNumberFormat="0" applyFill="0" applyAlignment="0" applyProtection="0"/>
    <xf numFmtId="0" fontId="66" fillId="62" borderId="0" applyNumberFormat="0" applyFont="0" applyFill="0" applyBorder="0" applyProtection="0">
      <alignment vertical="top" wrapText="1"/>
      <protection locked="0"/>
    </xf>
    <xf numFmtId="0" fontId="67" fillId="0" borderId="0" applyNumberFormat="0" applyFont="0" applyFill="0" applyBorder="0" applyProtection="0">
      <alignment vertical="top" wrapText="1"/>
    </xf>
    <xf numFmtId="0" fontId="53" fillId="0" borderId="0" applyFill="0" applyBorder="0" applyAlignment="0" applyProtection="0"/>
    <xf numFmtId="3" fontId="8" fillId="0" borderId="0"/>
    <xf numFmtId="37" fontId="66" fillId="62" borderId="0" applyFont="0" applyFill="0" applyProtection="0">
      <alignment vertical="top"/>
      <protection locked="0"/>
    </xf>
    <xf numFmtId="166" fontId="7" fillId="0" borderId="0" applyFont="0" applyFill="0" applyBorder="0" applyAlignment="0" applyProtection="0"/>
    <xf numFmtId="219" fontId="8" fillId="0" borderId="0" applyFont="0" applyFill="0" applyBorder="0" applyAlignment="0" applyProtection="0"/>
    <xf numFmtId="220" fontId="55" fillId="0" borderId="0">
      <protection locked="0"/>
    </xf>
    <xf numFmtId="213" fontId="52" fillId="0" borderId="0" applyFont="0" applyFill="0" applyBorder="0" applyAlignment="0" applyProtection="0"/>
    <xf numFmtId="0" fontId="35" fillId="0" borderId="0"/>
    <xf numFmtId="184" fontId="64" fillId="0" borderId="0"/>
    <xf numFmtId="221" fontId="68" fillId="0" borderId="0"/>
    <xf numFmtId="0" fontId="13" fillId="0" borderId="0"/>
    <xf numFmtId="0" fontId="7" fillId="0" borderId="0"/>
    <xf numFmtId="0" fontId="13" fillId="0" borderId="0"/>
    <xf numFmtId="0" fontId="8" fillId="0" borderId="0"/>
    <xf numFmtId="0" fontId="13" fillId="0" borderId="0"/>
    <xf numFmtId="0" fontId="7" fillId="0" borderId="0"/>
    <xf numFmtId="0" fontId="7" fillId="63" borderId="22" applyNumberFormat="0" applyFont="0" applyAlignment="0" applyProtection="0"/>
    <xf numFmtId="0" fontId="69" fillId="58" borderId="23" applyNumberFormat="0" applyAlignment="0" applyProtection="0"/>
    <xf numFmtId="222" fontId="50" fillId="0" borderId="0" applyFont="0" applyFill="0" applyBorder="0" applyAlignment="0" applyProtection="0"/>
    <xf numFmtId="223" fontId="47" fillId="0" borderId="0" applyFont="0" applyFill="0" applyBorder="0" applyAlignment="0" applyProtection="0"/>
    <xf numFmtId="224" fontId="43" fillId="0" borderId="0" applyFont="0" applyFill="0" applyBorder="0" applyAlignment="0" applyProtection="0"/>
    <xf numFmtId="176" fontId="8" fillId="0" borderId="0" applyFont="0" applyFill="0" applyBorder="0" applyAlignment="0" applyProtection="0"/>
    <xf numFmtId="10" fontId="8" fillId="0" borderId="0" applyFont="0" applyFill="0" applyBorder="0" applyAlignment="0" applyProtection="0"/>
    <xf numFmtId="225" fontId="50" fillId="0" borderId="0" applyFont="0" applyFill="0" applyBorder="0" applyAlignment="0" applyProtection="0"/>
    <xf numFmtId="226" fontId="47" fillId="0" borderId="0" applyFont="0" applyFill="0" applyBorder="0" applyAlignment="0" applyProtection="0"/>
    <xf numFmtId="227" fontId="50" fillId="0" borderId="0" applyFont="0" applyFill="0" applyBorder="0" applyAlignment="0" applyProtection="0"/>
    <xf numFmtId="228" fontId="50" fillId="0" borderId="0" applyFont="0" applyFill="0" applyBorder="0" applyAlignment="0" applyProtection="0"/>
    <xf numFmtId="229" fontId="47" fillId="0" borderId="0" applyFont="0" applyFill="0" applyBorder="0" applyAlignment="0" applyProtection="0"/>
    <xf numFmtId="230" fontId="50" fillId="0" borderId="0" applyFont="0" applyFill="0" applyBorder="0" applyAlignment="0" applyProtection="0"/>
    <xf numFmtId="231" fontId="50" fillId="0" borderId="0" applyFont="0" applyFill="0" applyBorder="0" applyAlignment="0" applyProtection="0"/>
    <xf numFmtId="232" fontId="47" fillId="0" borderId="0" applyFont="0" applyFill="0" applyBorder="0" applyAlignment="0" applyProtection="0"/>
    <xf numFmtId="233" fontId="50"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0" fontId="70" fillId="0" borderId="0"/>
    <xf numFmtId="234" fontId="55" fillId="0" borderId="0">
      <protection locked="0"/>
    </xf>
    <xf numFmtId="0" fontId="71" fillId="0" borderId="0" applyNumberFormat="0" applyFont="0" applyFill="0" applyBorder="0" applyAlignment="0">
      <protection hidden="1"/>
    </xf>
    <xf numFmtId="0" fontId="72" fillId="0" borderId="0" applyNumberFormat="0" applyFont="0" applyFill="0" applyBorder="0" applyAlignment="0" applyProtection="0">
      <alignment horizontal="left"/>
    </xf>
    <xf numFmtId="15" fontId="72" fillId="0" borderId="0" applyFont="0" applyFill="0" applyBorder="0" applyAlignment="0" applyProtection="0"/>
    <xf numFmtId="4" fontId="72" fillId="0" borderId="0" applyFont="0" applyFill="0" applyBorder="0" applyAlignment="0" applyProtection="0"/>
    <xf numFmtId="0" fontId="73" fillId="0" borderId="19">
      <alignment horizontal="center"/>
    </xf>
    <xf numFmtId="3" fontId="72" fillId="0" borderId="0" applyFont="0" applyFill="0" applyBorder="0" applyAlignment="0" applyProtection="0"/>
    <xf numFmtId="0" fontId="72" fillId="64" borderId="0" applyNumberFormat="0" applyFont="0" applyBorder="0" applyAlignment="0" applyProtection="0"/>
    <xf numFmtId="181" fontId="8" fillId="0" borderId="0" applyFill="0" applyBorder="0" applyAlignment="0" applyProtection="0"/>
    <xf numFmtId="3" fontId="52" fillId="0" borderId="0" applyFont="0" applyFill="0" applyBorder="0" applyAlignment="0" applyProtection="0"/>
    <xf numFmtId="0" fontId="70" fillId="0" borderId="0"/>
    <xf numFmtId="0" fontId="70" fillId="0" borderId="0"/>
    <xf numFmtId="0" fontId="70" fillId="0" borderId="0"/>
    <xf numFmtId="3" fontId="8" fillId="0" borderId="0" applyFill="0" applyBorder="0" applyAlignment="0" applyProtection="0"/>
    <xf numFmtId="0" fontId="70" fillId="0" borderId="0"/>
    <xf numFmtId="184" fontId="64" fillId="0" borderId="0"/>
    <xf numFmtId="0" fontId="8" fillId="0" borderId="0">
      <alignment vertical="top"/>
    </xf>
    <xf numFmtId="0" fontId="72" fillId="0" borderId="0"/>
    <xf numFmtId="0" fontId="34" fillId="60" borderId="0" applyNumberFormat="0" applyBorder="0" applyAlignment="0" applyProtection="0"/>
    <xf numFmtId="0" fontId="43" fillId="0" borderId="0" applyFill="0" applyBorder="0" applyAlignment="0" applyProtection="0"/>
    <xf numFmtId="0" fontId="74" fillId="0" borderId="24" applyNumberFormat="0" applyFont="0" applyFill="0" applyProtection="0">
      <alignment vertical="top" wrapText="1"/>
    </xf>
    <xf numFmtId="0" fontId="75" fillId="0" borderId="0" applyFill="0" applyBorder="0" applyProtection="0">
      <alignment horizontal="left" vertical="top"/>
    </xf>
    <xf numFmtId="0" fontId="76" fillId="0" borderId="0" applyNumberForma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70" fontId="8" fillId="0" borderId="0" applyFont="0" applyFill="0" applyBorder="0" applyAlignment="0" applyProtection="0"/>
    <xf numFmtId="171" fontId="8" fillId="0" borderId="0" applyFont="0" applyFill="0" applyBorder="0" applyAlignment="0" applyProtection="0"/>
    <xf numFmtId="235" fontId="7" fillId="0" borderId="0" applyFont="0" applyFill="0" applyBorder="0" applyAlignment="0" applyProtection="0"/>
    <xf numFmtId="236" fontId="7" fillId="0" borderId="0" applyFont="0" applyFill="0" applyBorder="0" applyAlignment="0" applyProtection="0"/>
    <xf numFmtId="0" fontId="77" fillId="0" borderId="0" applyNumberFormat="0" applyFill="0" applyBorder="0" applyAlignment="0" applyProtection="0"/>
    <xf numFmtId="237" fontId="47" fillId="0" borderId="0" applyFont="0" applyFill="0" applyBorder="0" applyAlignment="0" applyProtection="0"/>
    <xf numFmtId="238" fontId="47" fillId="0" borderId="0" applyFont="0" applyFill="0" applyBorder="0" applyAlignment="0" applyProtection="0"/>
    <xf numFmtId="239" fontId="47" fillId="0" borderId="0" applyFont="0" applyFill="0" applyBorder="0" applyAlignment="0" applyProtection="0"/>
    <xf numFmtId="240" fontId="47" fillId="0" borderId="0" applyFont="0" applyFill="0" applyBorder="0" applyAlignment="0" applyProtection="0"/>
    <xf numFmtId="241" fontId="47" fillId="0" borderId="0" applyFont="0" applyFill="0" applyBorder="0" applyAlignment="0" applyProtection="0"/>
    <xf numFmtId="242" fontId="47" fillId="0" borderId="0" applyFont="0" applyFill="0" applyBorder="0" applyAlignment="0" applyProtection="0"/>
    <xf numFmtId="243" fontId="47" fillId="0" borderId="0" applyFont="0" applyFill="0" applyBorder="0" applyAlignment="0" applyProtection="0"/>
    <xf numFmtId="244" fontId="47" fillId="0" borderId="0" applyFont="0" applyFill="0" applyBorder="0" applyAlignment="0" applyProtection="0"/>
    <xf numFmtId="0" fontId="8" fillId="0" borderId="0"/>
    <xf numFmtId="0" fontId="8" fillId="0" borderId="0"/>
    <xf numFmtId="0" fontId="8" fillId="0" borderId="0"/>
    <xf numFmtId="0" fontId="8" fillId="0" borderId="0"/>
    <xf numFmtId="166" fontId="13" fillId="0" borderId="0" applyFont="0" applyFill="0" applyBorder="0" applyAlignment="0" applyProtection="0"/>
    <xf numFmtId="166" fontId="8" fillId="0" borderId="0" applyFont="0" applyFill="0" applyBorder="0" applyAlignment="0" applyProtection="0"/>
    <xf numFmtId="0" fontId="1" fillId="0" borderId="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0" fontId="15" fillId="0" borderId="0" applyNumberFormat="0" applyFill="0" applyBorder="0" applyAlignment="0" applyProtection="0"/>
    <xf numFmtId="0" fontId="16" fillId="0" borderId="1" applyNumberFormat="0" applyFill="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41" fillId="58" borderId="15" applyNumberFormat="0" applyAlignment="0" applyProtection="0"/>
    <xf numFmtId="169" fontId="8" fillId="0" borderId="0" applyFont="0" applyFill="0" applyBorder="0" applyAlignment="0" applyProtection="0"/>
    <xf numFmtId="202" fontId="51" fillId="0" borderId="17" applyFill="0" applyProtection="0"/>
    <xf numFmtId="214" fontId="51" fillId="0" borderId="17" applyFill="0" applyProtection="0"/>
    <xf numFmtId="0" fontId="63" fillId="46" borderId="15" applyNumberFormat="0" applyAlignment="0" applyProtection="0"/>
    <xf numFmtId="0" fontId="7" fillId="63" borderId="22" applyNumberFormat="0" applyFont="0" applyAlignment="0" applyProtection="0"/>
    <xf numFmtId="0" fontId="69" fillId="58" borderId="23"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0" fontId="8" fillId="0" borderId="0"/>
    <xf numFmtId="169" fontId="8" fillId="0" borderId="0" applyFont="0" applyFill="0" applyBorder="0" applyAlignment="0" applyProtection="0"/>
    <xf numFmtId="0" fontId="8" fillId="0" borderId="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3" fillId="0" borderId="0" applyFont="0" applyFill="0" applyBorder="0" applyAlignment="0" applyProtection="0"/>
    <xf numFmtId="0" fontId="15" fillId="0" borderId="0" applyNumberFormat="0" applyFill="0" applyBorder="0" applyAlignment="0" applyProtection="0"/>
    <xf numFmtId="0" fontId="16" fillId="0" borderId="1" applyNumberFormat="0" applyFill="0" applyAlignment="0" applyProtection="0"/>
    <xf numFmtId="0" fontId="2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7" fillId="0" borderId="2" applyNumberFormat="0" applyFill="0" applyAlignment="0" applyProtection="0"/>
    <xf numFmtId="0" fontId="18" fillId="0" borderId="3" applyNumberFormat="0" applyFill="0" applyAlignment="0" applyProtection="0"/>
    <xf numFmtId="165" fontId="8" fillId="0" borderId="0" applyFont="0" applyFill="0" applyBorder="0" applyAlignment="0" applyProtection="0"/>
    <xf numFmtId="0" fontId="1" fillId="0" borderId="0"/>
    <xf numFmtId="184" fontId="64" fillId="0" borderId="0"/>
    <xf numFmtId="0" fontId="1" fillId="0" borderId="0"/>
    <xf numFmtId="0" fontId="1" fillId="0" borderId="0"/>
    <xf numFmtId="0" fontId="1" fillId="0" borderId="0"/>
    <xf numFmtId="166" fontId="8" fillId="0" borderId="0" applyFont="0" applyFill="0" applyBorder="0" applyAlignment="0" applyProtection="0"/>
    <xf numFmtId="166" fontId="1" fillId="0" borderId="0" applyFont="0" applyFill="0" applyBorder="0" applyAlignment="0" applyProtection="0"/>
    <xf numFmtId="0" fontId="1" fillId="0" borderId="0"/>
    <xf numFmtId="166" fontId="8" fillId="0" borderId="0" applyFont="0" applyFill="0" applyBorder="0" applyAlignment="0" applyProtection="0"/>
    <xf numFmtId="166" fontId="8" fillId="0" borderId="0" applyFont="0" applyFill="0" applyBorder="0" applyAlignment="0" applyProtection="0"/>
    <xf numFmtId="0" fontId="78" fillId="0" borderId="0" applyAlignment="0">
      <alignment vertical="top" wrapText="1"/>
      <protection locked="0"/>
    </xf>
    <xf numFmtId="0" fontId="79"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80" fillId="65" borderId="0" applyNumberFormat="0" applyBorder="0" applyAlignment="0" applyProtection="0"/>
    <xf numFmtId="0" fontId="81" fillId="0" borderId="25"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8" fillId="0" borderId="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8" fillId="0" borderId="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166"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0" fontId="81" fillId="0" borderId="25" applyNumberFormat="0" applyFill="0" applyAlignment="0" applyProtection="0"/>
    <xf numFmtId="169" fontId="7"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0" fontId="81" fillId="0" borderId="25" applyNumberFormat="0" applyFill="0" applyAlignment="0" applyProtection="0"/>
    <xf numFmtId="0" fontId="8" fillId="0" borderId="0"/>
    <xf numFmtId="169" fontId="8" fillId="0" borderId="0" applyFont="0" applyFill="0" applyBorder="0" applyAlignment="0" applyProtection="0"/>
    <xf numFmtId="0" fontId="8"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 fillId="0" borderId="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0" fontId="8" fillId="0" borderId="0"/>
    <xf numFmtId="169" fontId="8" fillId="0" borderId="0" applyFont="0" applyFill="0" applyBorder="0" applyAlignment="0" applyProtection="0"/>
    <xf numFmtId="0" fontId="8"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2" fillId="0" borderId="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37" fontId="64" fillId="0" borderId="0"/>
    <xf numFmtId="168" fontId="83" fillId="0" borderId="0" applyFont="0" applyFill="0" applyBorder="0" applyAlignment="0" applyProtection="0"/>
    <xf numFmtId="9" fontId="83"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57" fillId="0" borderId="26" applyNumberFormat="0" applyAlignment="0" applyProtection="0">
      <alignment horizontal="left" vertical="center"/>
    </xf>
    <xf numFmtId="14" fontId="42" fillId="61" borderId="27">
      <alignment horizontal="center" vertical="center" wrapText="1"/>
    </xf>
    <xf numFmtId="0" fontId="62" fillId="0" borderId="28"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4" fontId="42" fillId="61" borderId="27">
      <alignment horizontal="center" vertical="center" wrapText="1"/>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1" fillId="10" borderId="0" applyNumberFormat="0" applyBorder="0" applyAlignment="0" applyProtection="0"/>
    <xf numFmtId="0" fontId="8" fillId="0" borderId="0"/>
    <xf numFmtId="0" fontId="13" fillId="0" borderId="0"/>
    <xf numFmtId="0" fontId="7" fillId="0" borderId="0"/>
    <xf numFmtId="0" fontId="8" fillId="0" borderId="0"/>
    <xf numFmtId="0" fontId="8" fillId="0" borderId="0"/>
    <xf numFmtId="234" fontId="55" fillId="0" borderId="0">
      <protection locked="0"/>
    </xf>
    <xf numFmtId="0" fontId="73" fillId="0" borderId="27">
      <alignment horizontal="center"/>
    </xf>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0" fontId="8" fillId="0" borderId="0"/>
    <xf numFmtId="165" fontId="1" fillId="0" borderId="0" applyFont="0" applyFill="0" applyBorder="0" applyAlignment="0" applyProtection="0"/>
    <xf numFmtId="165"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81" fillId="0" borderId="25"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166"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5" fontId="1" fillId="0" borderId="0" applyFont="0" applyFill="0" applyBorder="0" applyAlignment="0" applyProtection="0"/>
    <xf numFmtId="0" fontId="41" fillId="58" borderId="15" applyNumberFormat="0" applyAlignment="0" applyProtection="0"/>
    <xf numFmtId="0" fontId="41" fillId="58" borderId="1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202" fontId="51" fillId="0" borderId="17" applyFill="0" applyProtection="0"/>
    <xf numFmtId="202" fontId="51" fillId="0" borderId="17" applyFill="0" applyProtection="0"/>
    <xf numFmtId="214" fontId="51" fillId="0" borderId="17" applyFill="0" applyProtection="0"/>
    <xf numFmtId="214" fontId="51" fillId="0" borderId="17" applyFill="0" applyProtection="0"/>
    <xf numFmtId="0" fontId="57" fillId="0" borderId="10" applyNumberFormat="0" applyAlignment="0" applyProtection="0">
      <alignment horizontal="left" vertical="center"/>
    </xf>
    <xf numFmtId="0" fontId="57" fillId="0" borderId="12">
      <alignment horizontal="left" vertical="center"/>
    </xf>
    <xf numFmtId="0" fontId="62" fillId="0" borderId="28" applyNumberFormat="0" applyFill="0" applyAlignment="0" applyProtection="0"/>
    <xf numFmtId="0" fontId="63" fillId="46" borderId="15" applyNumberFormat="0" applyAlignment="0" applyProtection="0"/>
    <xf numFmtId="0" fontId="63" fillId="46" borderId="15"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63" fillId="46" borderId="15" applyNumberFormat="0" applyAlignment="0" applyProtection="0"/>
    <xf numFmtId="0" fontId="63" fillId="46" borderId="15" applyNumberFormat="0" applyAlignment="0" applyProtection="0"/>
    <xf numFmtId="0" fontId="57" fillId="0" borderId="12">
      <alignment horizontal="left" vertical="center"/>
    </xf>
    <xf numFmtId="214" fontId="51" fillId="0" borderId="17" applyFill="0" applyProtection="0"/>
    <xf numFmtId="214" fontId="51" fillId="0" borderId="17" applyFill="0" applyProtection="0"/>
    <xf numFmtId="202" fontId="51" fillId="0" borderId="17" applyFill="0" applyProtection="0"/>
    <xf numFmtId="202" fontId="51" fillId="0" borderId="17" applyFill="0" applyProtection="0"/>
    <xf numFmtId="0" fontId="41" fillId="58" borderId="15" applyNumberFormat="0" applyAlignment="0" applyProtection="0"/>
    <xf numFmtId="0" fontId="41" fillId="58" borderId="15" applyNumberFormat="0" applyAlignment="0" applyProtection="0"/>
    <xf numFmtId="0" fontId="7" fillId="63" borderId="22" applyNumberFormat="0" applyFont="0" applyAlignment="0" applyProtection="0"/>
    <xf numFmtId="0" fontId="7" fillId="63" borderId="22" applyNumberFormat="0" applyFont="0" applyAlignment="0" applyProtection="0"/>
    <xf numFmtId="0" fontId="69" fillId="58" borderId="23" applyNumberFormat="0" applyAlignment="0" applyProtection="0"/>
    <xf numFmtId="0" fontId="69" fillId="58" borderId="23" applyNumberFormat="0" applyAlignment="0" applyProtection="0"/>
    <xf numFmtId="166" fontId="1" fillId="0" borderId="0" applyFont="0" applyFill="0" applyBorder="0" applyAlignment="0" applyProtection="0"/>
    <xf numFmtId="0" fontId="73" fillId="0" borderId="19">
      <alignment horizontal="center"/>
    </xf>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0" fontId="7" fillId="63" borderId="22" applyNumberFormat="0" applyFont="0" applyAlignment="0" applyProtection="0"/>
    <xf numFmtId="0" fontId="7" fillId="63" borderId="22" applyNumberFormat="0" applyFont="0" applyAlignment="0" applyProtection="0"/>
    <xf numFmtId="0" fontId="69" fillId="58" borderId="23" applyNumberFormat="0" applyAlignment="0" applyProtection="0"/>
    <xf numFmtId="0" fontId="69" fillId="58" borderId="23" applyNumberFormat="0" applyAlignment="0" applyProtection="0"/>
    <xf numFmtId="0" fontId="41" fillId="58" borderId="15" applyNumberFormat="0" applyAlignment="0" applyProtection="0"/>
    <xf numFmtId="0" fontId="41" fillId="58" borderId="1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202" fontId="51" fillId="0" borderId="17" applyFill="0" applyProtection="0"/>
    <xf numFmtId="202" fontId="51" fillId="0" borderId="17" applyFill="0" applyProtection="0"/>
    <xf numFmtId="214" fontId="51" fillId="0" borderId="17" applyFill="0" applyProtection="0"/>
    <xf numFmtId="214" fontId="51" fillId="0" borderId="17" applyFill="0" applyProtection="0"/>
    <xf numFmtId="0" fontId="57" fillId="0" borderId="10" applyNumberFormat="0" applyAlignment="0" applyProtection="0">
      <alignment horizontal="left" vertical="center"/>
    </xf>
    <xf numFmtId="0" fontId="57" fillId="0" borderId="12">
      <alignment horizontal="left" vertical="center"/>
    </xf>
    <xf numFmtId="0" fontId="62" fillId="0" borderId="28" applyNumberFormat="0" applyFill="0" applyAlignment="0" applyProtection="0"/>
    <xf numFmtId="0" fontId="63" fillId="46" borderId="15" applyNumberFormat="0" applyAlignment="0" applyProtection="0"/>
    <xf numFmtId="0" fontId="63" fillId="46" borderId="15"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2"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0" fontId="57" fillId="0" borderId="26" applyNumberFormat="0" applyAlignment="0" applyProtection="0">
      <alignment horizontal="left" vertical="center"/>
    </xf>
    <xf numFmtId="0" fontId="73" fillId="0" borderId="27">
      <alignment horizontal="center"/>
    </xf>
    <xf numFmtId="0" fontId="57" fillId="0" borderId="26" applyNumberFormat="0" applyAlignment="0" applyProtection="0">
      <alignment horizontal="left" vertical="center"/>
    </xf>
    <xf numFmtId="165"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5" fontId="1" fillId="0" borderId="0" applyFont="0" applyFill="0" applyBorder="0" applyAlignment="0" applyProtection="0"/>
    <xf numFmtId="166" fontId="8" fillId="0" borderId="0" applyFont="0" applyFill="0" applyBorder="0" applyAlignment="0" applyProtection="0"/>
    <xf numFmtId="165" fontId="1" fillId="0" borderId="0" applyFont="0" applyFill="0" applyBorder="0" applyAlignment="0" applyProtection="0"/>
    <xf numFmtId="0" fontId="57" fillId="0" borderId="32" applyNumberFormat="0" applyAlignment="0" applyProtection="0">
      <alignment horizontal="left" vertical="center"/>
    </xf>
    <xf numFmtId="166" fontId="13" fillId="0" borderId="0" applyFont="0" applyFill="0" applyBorder="0" applyAlignment="0" applyProtection="0"/>
    <xf numFmtId="0" fontId="57" fillId="0" borderId="32" applyNumberFormat="0" applyAlignment="0" applyProtection="0">
      <alignment horizontal="left" vertical="center"/>
    </xf>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57" fillId="0" borderId="29" applyNumberFormat="0" applyAlignment="0" applyProtection="0">
      <alignment horizontal="left" vertical="center"/>
    </xf>
    <xf numFmtId="14" fontId="42" fillId="61" borderId="30">
      <alignment horizontal="center" vertical="center" wrapText="1"/>
    </xf>
    <xf numFmtId="0" fontId="62" fillId="0" borderId="31"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57" fillId="0" borderId="32" applyNumberFormat="0" applyAlignment="0" applyProtection="0">
      <alignment horizontal="left" vertical="center"/>
    </xf>
    <xf numFmtId="14" fontId="42" fillId="61" borderId="30">
      <alignment horizontal="center" vertical="center" wrapText="1"/>
    </xf>
    <xf numFmtId="0" fontId="57" fillId="0" borderId="33" applyNumberFormat="0" applyAlignment="0" applyProtection="0">
      <alignment horizontal="left" vertical="center"/>
    </xf>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57" fillId="0" borderId="34" applyNumberFormat="0" applyAlignment="0" applyProtection="0">
      <alignment horizontal="left" vertical="center"/>
    </xf>
    <xf numFmtId="14" fontId="42" fillId="61" borderId="30">
      <alignment horizontal="center" vertical="center" wrapText="1"/>
    </xf>
    <xf numFmtId="14" fontId="42" fillId="61" borderId="30">
      <alignment horizontal="center" vertical="center" wrapText="1"/>
    </xf>
    <xf numFmtId="0" fontId="57" fillId="0" borderId="33" applyNumberFormat="0" applyAlignment="0" applyProtection="0">
      <alignment horizontal="left" vertical="center"/>
    </xf>
    <xf numFmtId="0" fontId="73" fillId="0" borderId="30">
      <alignment horizontal="center"/>
    </xf>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57" fillId="0" borderId="33" applyNumberFormat="0" applyAlignment="0" applyProtection="0">
      <alignment horizontal="left" vertical="center"/>
    </xf>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62" fillId="0" borderId="31"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62" fillId="0" borderId="31"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2"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0" fontId="57" fillId="0" borderId="29" applyNumberFormat="0" applyAlignment="0" applyProtection="0">
      <alignment horizontal="left" vertical="center"/>
    </xf>
    <xf numFmtId="0" fontId="73" fillId="0" borderId="30">
      <alignment horizontal="center"/>
    </xf>
    <xf numFmtId="0" fontId="57" fillId="0" borderId="29" applyNumberFormat="0" applyAlignment="0" applyProtection="0">
      <alignment horizontal="left" vertical="center"/>
    </xf>
    <xf numFmtId="0" fontId="57" fillId="0" borderId="34" applyNumberFormat="0" applyAlignment="0" applyProtection="0">
      <alignment horizontal="left" vertical="center"/>
    </xf>
    <xf numFmtId="14" fontId="42" fillId="61" borderId="30">
      <alignment horizontal="center" vertical="center" wrapText="1"/>
    </xf>
    <xf numFmtId="0" fontId="62" fillId="0" borderId="31" applyNumberFormat="0" applyFill="0" applyAlignment="0" applyProtection="0"/>
    <xf numFmtId="14" fontId="42" fillId="61" borderId="30">
      <alignment horizontal="center" vertical="center" wrapText="1"/>
    </xf>
    <xf numFmtId="0" fontId="73" fillId="0" borderId="30">
      <alignment horizont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73" fillId="0" borderId="30">
      <alignment horizont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cellStyleXfs>
  <cellXfs count="147">
    <xf numFmtId="0" fontId="0" fillId="0" borderId="0" xfId="0"/>
    <xf numFmtId="0" fontId="2" fillId="3" borderId="0" xfId="0" applyFont="1" applyFill="1"/>
    <xf numFmtId="0" fontId="4" fillId="5" borderId="0" xfId="0" applyFont="1" applyFill="1" applyAlignment="1">
      <alignment horizontal="left"/>
    </xf>
    <xf numFmtId="0" fontId="4" fillId="4" borderId="0" xfId="0" applyFont="1" applyFill="1"/>
    <xf numFmtId="17" fontId="2" fillId="2" borderId="0" xfId="0" applyNumberFormat="1" applyFont="1" applyFill="1"/>
    <xf numFmtId="0" fontId="2" fillId="2" borderId="0" xfId="0" applyFont="1" applyFill="1"/>
    <xf numFmtId="0" fontId="4" fillId="5" borderId="0" xfId="0" applyFont="1" applyFill="1"/>
    <xf numFmtId="172" fontId="2" fillId="2" borderId="0" xfId="0" applyNumberFormat="1" applyFont="1" applyFill="1"/>
    <xf numFmtId="173" fontId="2" fillId="2" borderId="0" xfId="0" applyNumberFormat="1" applyFont="1" applyFill="1" applyAlignment="1">
      <alignment horizontal="right" vertical="center"/>
    </xf>
    <xf numFmtId="173" fontId="4" fillId="5" borderId="0" xfId="0" applyNumberFormat="1" applyFont="1" applyFill="1"/>
    <xf numFmtId="172" fontId="4" fillId="4" borderId="0" xfId="0" applyNumberFormat="1" applyFont="1" applyFill="1"/>
    <xf numFmtId="0" fontId="5" fillId="6" borderId="0" xfId="0" applyFont="1" applyFill="1"/>
    <xf numFmtId="0" fontId="2" fillId="6" borderId="0" xfId="0" applyFont="1" applyFill="1"/>
    <xf numFmtId="174" fontId="2" fillId="2" borderId="0" xfId="1" applyNumberFormat="1" applyFont="1" applyFill="1"/>
    <xf numFmtId="174" fontId="2" fillId="3" borderId="0" xfId="1" applyNumberFormat="1" applyFont="1" applyFill="1"/>
    <xf numFmtId="174" fontId="4" fillId="5" borderId="0" xfId="1" applyNumberFormat="1" applyFont="1" applyFill="1"/>
    <xf numFmtId="173" fontId="4" fillId="4" borderId="0" xfId="0" applyNumberFormat="1" applyFont="1" applyFill="1"/>
    <xf numFmtId="172" fontId="2" fillId="2" borderId="0" xfId="1" applyNumberFormat="1" applyFont="1" applyFill="1" applyBorder="1" applyAlignment="1">
      <alignment horizontal="right" vertical="center"/>
    </xf>
    <xf numFmtId="172" fontId="4" fillId="5" borderId="0" xfId="1" applyNumberFormat="1" applyFont="1" applyFill="1"/>
    <xf numFmtId="0" fontId="6" fillId="7" borderId="0" xfId="0" applyFont="1" applyFill="1"/>
    <xf numFmtId="175" fontId="4" fillId="5" borderId="0" xfId="0" applyNumberFormat="1" applyFont="1" applyFill="1"/>
    <xf numFmtId="175" fontId="2" fillId="2" borderId="0" xfId="0" applyNumberFormat="1" applyFont="1" applyFill="1" applyAlignment="1">
      <alignment horizontal="right" vertical="center"/>
    </xf>
    <xf numFmtId="175" fontId="2" fillId="3" borderId="0" xfId="0" applyNumberFormat="1" applyFont="1" applyFill="1"/>
    <xf numFmtId="175" fontId="6" fillId="7" borderId="0" xfId="0" applyNumberFormat="1" applyFont="1" applyFill="1" applyAlignment="1">
      <alignment horizontal="right" vertical="center"/>
    </xf>
    <xf numFmtId="0" fontId="6" fillId="2" borderId="0" xfId="0" applyFont="1" applyFill="1"/>
    <xf numFmtId="175" fontId="6" fillId="2" borderId="0" xfId="0" applyNumberFormat="1" applyFont="1" applyFill="1" applyAlignment="1">
      <alignment horizontal="right" vertical="center"/>
    </xf>
    <xf numFmtId="1" fontId="2" fillId="2" borderId="0" xfId="0" applyNumberFormat="1" applyFont="1" applyFill="1" applyAlignment="1">
      <alignment horizontal="right" vertical="center"/>
    </xf>
    <xf numFmtId="1" fontId="6" fillId="2" borderId="0" xfId="0" applyNumberFormat="1" applyFont="1" applyFill="1" applyAlignment="1">
      <alignment horizontal="right" vertical="center"/>
    </xf>
    <xf numFmtId="172" fontId="4" fillId="5" borderId="0" xfId="0" applyNumberFormat="1" applyFont="1" applyFill="1"/>
    <xf numFmtId="172" fontId="2" fillId="3" borderId="0" xfId="0" applyNumberFormat="1" applyFont="1" applyFill="1"/>
    <xf numFmtId="172" fontId="2" fillId="2" borderId="0" xfId="0" applyNumberFormat="1" applyFont="1" applyFill="1" applyAlignment="1">
      <alignment horizontal="right" vertical="center"/>
    </xf>
    <xf numFmtId="172" fontId="6" fillId="7" borderId="0" xfId="0" applyNumberFormat="1" applyFont="1" applyFill="1" applyAlignment="1">
      <alignment horizontal="right" vertical="center"/>
    </xf>
    <xf numFmtId="176" fontId="2" fillId="2" borderId="0" xfId="2" applyNumberFormat="1" applyFont="1" applyFill="1"/>
    <xf numFmtId="176" fontId="2" fillId="2" borderId="0" xfId="2" applyNumberFormat="1" applyFont="1" applyFill="1" applyBorder="1" applyAlignment="1">
      <alignment horizontal="right" vertical="center"/>
    </xf>
    <xf numFmtId="176" fontId="4" fillId="5" borderId="0" xfId="2" applyNumberFormat="1" applyFont="1" applyFill="1"/>
    <xf numFmtId="176" fontId="2" fillId="3" borderId="0" xfId="0" applyNumberFormat="1" applyFont="1" applyFill="1"/>
    <xf numFmtId="176" fontId="2" fillId="3" borderId="0" xfId="2" applyNumberFormat="1" applyFont="1" applyFill="1"/>
    <xf numFmtId="0" fontId="4" fillId="3" borderId="0" xfId="0" applyFont="1" applyFill="1" applyAlignment="1">
      <alignment horizontal="left"/>
    </xf>
    <xf numFmtId="173" fontId="4" fillId="3" borderId="0" xfId="0" applyNumberFormat="1" applyFont="1" applyFill="1"/>
    <xf numFmtId="176" fontId="4" fillId="3" borderId="0" xfId="2" applyNumberFormat="1" applyFont="1" applyFill="1"/>
    <xf numFmtId="173" fontId="2" fillId="2" borderId="0" xfId="0" applyNumberFormat="1" applyFont="1" applyFill="1"/>
    <xf numFmtId="176" fontId="2" fillId="2" borderId="0" xfId="0" applyNumberFormat="1" applyFont="1" applyFill="1" applyAlignment="1">
      <alignment horizontal="right" vertical="center"/>
    </xf>
    <xf numFmtId="0" fontId="9" fillId="3" borderId="0" xfId="0" applyFont="1" applyFill="1"/>
    <xf numFmtId="166" fontId="2" fillId="3" borderId="0" xfId="0" applyNumberFormat="1" applyFont="1" applyFill="1"/>
    <xf numFmtId="176" fontId="2" fillId="2" borderId="0" xfId="2" applyNumberFormat="1" applyFont="1" applyFill="1" applyAlignment="1">
      <alignment horizontal="right"/>
    </xf>
    <xf numFmtId="176" fontId="4" fillId="4" borderId="0" xfId="2" applyNumberFormat="1" applyFont="1" applyFill="1" applyAlignment="1">
      <alignment horizontal="right"/>
    </xf>
    <xf numFmtId="177" fontId="2" fillId="3" borderId="0" xfId="0" applyNumberFormat="1" applyFont="1" applyFill="1"/>
    <xf numFmtId="173" fontId="2" fillId="3" borderId="0" xfId="0" applyNumberFormat="1" applyFont="1" applyFill="1"/>
    <xf numFmtId="178" fontId="2" fillId="3" borderId="0" xfId="0" applyNumberFormat="1" applyFont="1" applyFill="1"/>
    <xf numFmtId="9" fontId="2" fillId="3" borderId="0" xfId="2" applyFont="1" applyFill="1"/>
    <xf numFmtId="176" fontId="6" fillId="7" borderId="0" xfId="2" applyNumberFormat="1" applyFont="1" applyFill="1" applyAlignment="1">
      <alignment horizontal="right"/>
    </xf>
    <xf numFmtId="165" fontId="2" fillId="2" borderId="0" xfId="1" applyFont="1" applyFill="1"/>
    <xf numFmtId="0" fontId="2" fillId="3" borderId="0" xfId="0" applyFont="1" applyFill="1" applyAlignment="1">
      <alignment horizontal="center"/>
    </xf>
    <xf numFmtId="0" fontId="10" fillId="3" borderId="0" xfId="0" applyFont="1" applyFill="1"/>
    <xf numFmtId="3" fontId="2" fillId="2" borderId="0" xfId="0" applyNumberFormat="1" applyFont="1" applyFill="1" applyAlignment="1">
      <alignment horizontal="right" vertical="center"/>
    </xf>
    <xf numFmtId="179" fontId="2" fillId="2" borderId="0" xfId="0" applyNumberFormat="1" applyFont="1" applyFill="1"/>
    <xf numFmtId="0" fontId="4" fillId="4" borderId="0" xfId="0" applyFont="1" applyFill="1" applyAlignment="1">
      <alignment horizontal="center" vertical="center"/>
    </xf>
    <xf numFmtId="175" fontId="2" fillId="2" borderId="0" xfId="8" applyNumberFormat="1" applyFont="1" applyFill="1" applyBorder="1" applyAlignment="1">
      <alignment horizontal="center" vertical="center"/>
    </xf>
    <xf numFmtId="173" fontId="2" fillId="3" borderId="0" xfId="8" applyNumberFormat="1" applyFont="1" applyFill="1"/>
    <xf numFmtId="181" fontId="2" fillId="2" borderId="0" xfId="0" applyNumberFormat="1" applyFont="1" applyFill="1"/>
    <xf numFmtId="173" fontId="2" fillId="2" borderId="0" xfId="0" applyNumberFormat="1" applyFont="1" applyFill="1" applyAlignment="1">
      <alignment horizontal="right"/>
    </xf>
    <xf numFmtId="176" fontId="2" fillId="3" borderId="0" xfId="0" applyNumberFormat="1" applyFont="1" applyFill="1" applyAlignment="1">
      <alignment horizontal="center"/>
    </xf>
    <xf numFmtId="182" fontId="2" fillId="3" borderId="0" xfId="0" applyNumberFormat="1" applyFont="1" applyFill="1"/>
    <xf numFmtId="176" fontId="4" fillId="5" borderId="0" xfId="2" applyNumberFormat="1" applyFont="1" applyFill="1" applyAlignment="1">
      <alignment horizontal="right"/>
    </xf>
    <xf numFmtId="183" fontId="11" fillId="2" borderId="0" xfId="7" applyNumberFormat="1" applyFont="1" applyFill="1"/>
    <xf numFmtId="165" fontId="11" fillId="2" borderId="0" xfId="1" applyFont="1" applyFill="1"/>
    <xf numFmtId="165" fontId="2" fillId="3" borderId="0" xfId="1" applyFont="1" applyFill="1"/>
    <xf numFmtId="176" fontId="2" fillId="3" borderId="0" xfId="0" applyNumberFormat="1" applyFont="1" applyFill="1" applyAlignment="1">
      <alignment horizontal="right"/>
    </xf>
    <xf numFmtId="0" fontId="2" fillId="3" borderId="0" xfId="0" applyFont="1" applyFill="1" applyAlignment="1">
      <alignment horizontal="center" wrapText="1"/>
    </xf>
    <xf numFmtId="3" fontId="4" fillId="5" borderId="0" xfId="0" applyNumberFormat="1" applyFont="1" applyFill="1"/>
    <xf numFmtId="173" fontId="4" fillId="5" borderId="0" xfId="0" applyNumberFormat="1" applyFont="1" applyFill="1" applyAlignment="1">
      <alignment vertical="center"/>
    </xf>
    <xf numFmtId="181" fontId="2" fillId="2" borderId="0" xfId="0" applyNumberFormat="1" applyFont="1" applyFill="1" applyAlignment="1">
      <alignment vertical="center"/>
    </xf>
    <xf numFmtId="0" fontId="2" fillId="3" borderId="0" xfId="0" applyFont="1" applyFill="1" applyAlignment="1">
      <alignment vertical="center"/>
    </xf>
    <xf numFmtId="173" fontId="2" fillId="2" borderId="0" xfId="0" applyNumberFormat="1" applyFont="1" applyFill="1" applyAlignment="1">
      <alignment vertical="center"/>
    </xf>
    <xf numFmtId="0" fontId="2" fillId="3" borderId="0" xfId="0" applyFont="1" applyFill="1" applyAlignment="1">
      <alignment horizontal="left"/>
    </xf>
    <xf numFmtId="172" fontId="2" fillId="2" borderId="0" xfId="0" applyNumberFormat="1" applyFont="1" applyFill="1" applyAlignment="1">
      <alignment vertical="center"/>
    </xf>
    <xf numFmtId="0" fontId="2" fillId="3" borderId="0" xfId="0" applyFont="1" applyFill="1" applyAlignment="1">
      <alignment horizontal="right"/>
    </xf>
    <xf numFmtId="9" fontId="2" fillId="3" borderId="0" xfId="2" applyFont="1" applyFill="1" applyAlignment="1">
      <alignment horizontal="center" wrapText="1"/>
    </xf>
    <xf numFmtId="0" fontId="2" fillId="3" borderId="0" xfId="2" applyNumberFormat="1" applyFont="1" applyFill="1"/>
    <xf numFmtId="175" fontId="6" fillId="7" borderId="0" xfId="0" applyNumberFormat="1" applyFont="1" applyFill="1" applyAlignment="1">
      <alignment horizontal="left" vertical="center"/>
    </xf>
    <xf numFmtId="165" fontId="4" fillId="5" borderId="0" xfId="0" applyNumberFormat="1" applyFont="1" applyFill="1"/>
    <xf numFmtId="0" fontId="4" fillId="4" borderId="0" xfId="0" applyFont="1" applyFill="1" applyAlignment="1">
      <alignment horizontal="left" vertical="center"/>
    </xf>
    <xf numFmtId="174" fontId="2" fillId="2" borderId="0" xfId="1" applyNumberFormat="1" applyFont="1" applyFill="1" applyAlignment="1">
      <alignment horizontal="left"/>
    </xf>
    <xf numFmtId="179" fontId="2" fillId="2" borderId="0" xfId="0" applyNumberFormat="1" applyFont="1" applyFill="1" applyAlignment="1">
      <alignment horizontal="right"/>
    </xf>
    <xf numFmtId="165" fontId="2" fillId="3" borderId="0" xfId="0" applyNumberFormat="1" applyFont="1" applyFill="1"/>
    <xf numFmtId="9" fontId="2" fillId="3" borderId="0" xfId="2" applyFont="1" applyFill="1" applyAlignment="1">
      <alignment horizontal="right"/>
    </xf>
    <xf numFmtId="9" fontId="2" fillId="3" borderId="0" xfId="0" applyNumberFormat="1" applyFont="1" applyFill="1"/>
    <xf numFmtId="172" fontId="2" fillId="3" borderId="0" xfId="0" applyNumberFormat="1" applyFont="1" applyFill="1" applyAlignment="1">
      <alignment horizontal="right"/>
    </xf>
    <xf numFmtId="173" fontId="4" fillId="3" borderId="0" xfId="0" applyNumberFormat="1" applyFont="1" applyFill="1" applyAlignment="1">
      <alignment horizontal="right"/>
    </xf>
    <xf numFmtId="0" fontId="10" fillId="3" borderId="0" xfId="0" applyFont="1" applyFill="1" applyAlignment="1">
      <alignment horizontal="center" wrapText="1"/>
    </xf>
    <xf numFmtId="176" fontId="6" fillId="2" borderId="0" xfId="2" applyNumberFormat="1" applyFont="1" applyFill="1" applyAlignment="1">
      <alignment horizontal="right"/>
    </xf>
    <xf numFmtId="175" fontId="2" fillId="3" borderId="0" xfId="8" applyNumberFormat="1" applyFont="1" applyFill="1" applyAlignment="1">
      <alignment horizontal="right" vertical="center"/>
    </xf>
    <xf numFmtId="0" fontId="84" fillId="5" borderId="0" xfId="0" applyFont="1" applyFill="1" applyAlignment="1">
      <alignment horizontal="left"/>
    </xf>
    <xf numFmtId="173" fontId="84" fillId="5" borderId="0" xfId="0" applyNumberFormat="1" applyFont="1" applyFill="1"/>
    <xf numFmtId="176" fontId="84" fillId="5" borderId="0" xfId="2" applyNumberFormat="1" applyFont="1" applyFill="1"/>
    <xf numFmtId="173" fontId="84" fillId="5" borderId="0" xfId="0" applyNumberFormat="1" applyFont="1" applyFill="1" applyAlignment="1">
      <alignment horizontal="right"/>
    </xf>
    <xf numFmtId="176" fontId="84" fillId="5" borderId="0" xfId="2" applyNumberFormat="1" applyFont="1" applyFill="1" applyAlignment="1">
      <alignment horizontal="right" vertical="center"/>
    </xf>
    <xf numFmtId="176" fontId="84" fillId="5" borderId="0" xfId="2" applyNumberFormat="1" applyFont="1" applyFill="1" applyAlignment="1">
      <alignment horizontal="right"/>
    </xf>
    <xf numFmtId="172" fontId="84" fillId="5" borderId="0" xfId="0" applyNumberFormat="1" applyFont="1" applyFill="1"/>
    <xf numFmtId="0" fontId="84" fillId="3" borderId="0" xfId="0" applyFont="1" applyFill="1" applyAlignment="1">
      <alignment horizontal="left"/>
    </xf>
    <xf numFmtId="173" fontId="84" fillId="3" borderId="0" xfId="0" applyNumberFormat="1" applyFont="1" applyFill="1"/>
    <xf numFmtId="172" fontId="84" fillId="3" borderId="0" xfId="0" applyNumberFormat="1" applyFont="1" applyFill="1"/>
    <xf numFmtId="0" fontId="84" fillId="5" borderId="0" xfId="0" applyFont="1" applyFill="1"/>
    <xf numFmtId="3" fontId="4" fillId="5" borderId="0" xfId="0" applyNumberFormat="1" applyFont="1" applyFill="1" applyAlignment="1">
      <alignment horizontal="right"/>
    </xf>
    <xf numFmtId="175" fontId="4" fillId="5" borderId="0" xfId="0" applyNumberFormat="1" applyFont="1" applyFill="1" applyAlignment="1">
      <alignment horizontal="right"/>
    </xf>
    <xf numFmtId="9" fontId="2" fillId="2" borderId="0" xfId="2" applyFont="1" applyFill="1" applyAlignment="1">
      <alignment horizontal="right" vertical="center"/>
    </xf>
    <xf numFmtId="9" fontId="2" fillId="2" borderId="0" xfId="2" applyFont="1" applyFill="1" applyBorder="1" applyAlignment="1">
      <alignment horizontal="right" vertical="center"/>
    </xf>
    <xf numFmtId="9" fontId="6" fillId="7" borderId="0" xfId="2" applyFont="1" applyFill="1" applyAlignment="1">
      <alignment horizontal="right" vertical="center"/>
    </xf>
    <xf numFmtId="174" fontId="2" fillId="2" borderId="0" xfId="1" applyNumberFormat="1" applyFont="1" applyFill="1" applyAlignment="1">
      <alignment horizontal="right"/>
    </xf>
    <xf numFmtId="165" fontId="2" fillId="2" borderId="0" xfId="1" applyFont="1" applyFill="1" applyAlignment="1">
      <alignment horizontal="right"/>
    </xf>
    <xf numFmtId="0" fontId="4" fillId="4" borderId="0" xfId="0" applyFont="1" applyFill="1" applyAlignment="1">
      <alignment horizontal="right" vertical="center"/>
    </xf>
    <xf numFmtId="165" fontId="2" fillId="3" borderId="0" xfId="2" applyNumberFormat="1" applyFont="1" applyFill="1"/>
    <xf numFmtId="165" fontId="84" fillId="5" borderId="0" xfId="0" applyNumberFormat="1" applyFont="1" applyFill="1"/>
    <xf numFmtId="165" fontId="2" fillId="0" borderId="0" xfId="1" applyFont="1" applyFill="1"/>
    <xf numFmtId="165" fontId="2" fillId="6" borderId="0" xfId="0" applyNumberFormat="1" applyFont="1" applyFill="1"/>
    <xf numFmtId="3" fontId="85" fillId="66" borderId="0" xfId="0" applyNumberFormat="1" applyFont="1" applyFill="1" applyAlignment="1">
      <alignment horizontal="right"/>
    </xf>
    <xf numFmtId="0" fontId="85" fillId="66" borderId="0" xfId="0" applyFont="1" applyFill="1" applyAlignment="1">
      <alignment horizontal="right"/>
    </xf>
    <xf numFmtId="165" fontId="4" fillId="5" borderId="0" xfId="0" applyNumberFormat="1" applyFont="1" applyFill="1" applyAlignment="1">
      <alignment horizontal="right"/>
    </xf>
    <xf numFmtId="9" fontId="4" fillId="5" borderId="0" xfId="0" applyNumberFormat="1" applyFont="1" applyFill="1" applyAlignment="1">
      <alignment horizontal="right"/>
    </xf>
    <xf numFmtId="0" fontId="4" fillId="5" borderId="0" xfId="0" applyFont="1" applyFill="1" applyAlignment="1">
      <alignment horizontal="right"/>
    </xf>
    <xf numFmtId="165" fontId="4" fillId="4" borderId="0" xfId="0" applyNumberFormat="1" applyFont="1" applyFill="1" applyAlignment="1">
      <alignment horizontal="right" vertical="center"/>
    </xf>
    <xf numFmtId="9" fontId="4" fillId="4" borderId="0" xfId="0" applyNumberFormat="1" applyFont="1" applyFill="1" applyAlignment="1">
      <alignment horizontal="right" vertical="center"/>
    </xf>
    <xf numFmtId="165" fontId="2" fillId="3" borderId="0" xfId="0" applyNumberFormat="1" applyFont="1" applyFill="1" applyAlignment="1">
      <alignment horizontal="right"/>
    </xf>
    <xf numFmtId="0" fontId="6" fillId="3" borderId="0" xfId="0" applyFont="1" applyFill="1"/>
    <xf numFmtId="0" fontId="86" fillId="3" borderId="0" xfId="0" applyFont="1" applyFill="1"/>
    <xf numFmtId="0" fontId="85" fillId="67" borderId="0" xfId="0" applyFont="1" applyFill="1" applyAlignment="1">
      <alignment horizontal="right"/>
    </xf>
    <xf numFmtId="1" fontId="85" fillId="67" borderId="0" xfId="0" applyNumberFormat="1" applyFont="1" applyFill="1" applyAlignment="1">
      <alignment horizontal="right"/>
    </xf>
    <xf numFmtId="3" fontId="85" fillId="67" borderId="0" xfId="0" applyNumberFormat="1" applyFont="1" applyFill="1" applyAlignment="1">
      <alignment horizontal="right"/>
    </xf>
    <xf numFmtId="245" fontId="2" fillId="3" borderId="0" xfId="0" applyNumberFormat="1" applyFont="1" applyFill="1"/>
    <xf numFmtId="43" fontId="2" fillId="3" borderId="0" xfId="0" applyNumberFormat="1" applyFont="1" applyFill="1"/>
    <xf numFmtId="0" fontId="12" fillId="3" borderId="0" xfId="0" applyFont="1" applyFill="1" applyAlignment="1">
      <alignment horizontal="left" vertical="top" wrapText="1"/>
    </xf>
    <xf numFmtId="0" fontId="4" fillId="4" borderId="0" xfId="0" applyFont="1" applyFill="1" applyAlignment="1">
      <alignment vertical="center"/>
    </xf>
    <xf numFmtId="165" fontId="4" fillId="4" borderId="0" xfId="0" applyNumberFormat="1" applyFont="1" applyFill="1" applyAlignment="1">
      <alignment horizontal="right" vertical="center"/>
    </xf>
    <xf numFmtId="0" fontId="4" fillId="4" borderId="0" xfId="0" applyFont="1" applyFill="1" applyAlignment="1">
      <alignment horizontal="right" vertical="center"/>
    </xf>
    <xf numFmtId="0" fontId="4" fillId="4" borderId="0" xfId="0" applyFont="1" applyFill="1" applyAlignment="1">
      <alignment horizontal="center" vertical="center"/>
    </xf>
    <xf numFmtId="0" fontId="2" fillId="3" borderId="0" xfId="0" applyFont="1" applyFill="1" applyAlignment="1">
      <alignment horizontal="left" vertical="top" wrapText="1"/>
    </xf>
    <xf numFmtId="0" fontId="2" fillId="3" borderId="0" xfId="0" applyFont="1" applyFill="1" applyAlignment="1">
      <alignment horizontal="left" vertical="center" wrapText="1"/>
    </xf>
    <xf numFmtId="0" fontId="4" fillId="4" borderId="0" xfId="0" applyFont="1" applyFill="1" applyAlignment="1">
      <alignment horizontal="center" vertical="center" wrapText="1"/>
    </xf>
    <xf numFmtId="169" fontId="2" fillId="3" borderId="0" xfId="0" applyNumberFormat="1" applyFont="1" applyFill="1"/>
    <xf numFmtId="169" fontId="2" fillId="3" borderId="0" xfId="0" applyNumberFormat="1" applyFont="1" applyFill="1" applyAlignment="1">
      <alignment horizontal="center"/>
    </xf>
    <xf numFmtId="172" fontId="2" fillId="3" borderId="0" xfId="1" applyNumberFormat="1" applyFont="1" applyFill="1"/>
    <xf numFmtId="197" fontId="2" fillId="3" borderId="0" xfId="8" applyNumberFormat="1" applyFont="1" applyFill="1"/>
    <xf numFmtId="197" fontId="2" fillId="3" borderId="0" xfId="0" applyNumberFormat="1" applyFont="1" applyFill="1"/>
    <xf numFmtId="173" fontId="6" fillId="7" borderId="0" xfId="0" applyNumberFormat="1" applyFont="1" applyFill="1" applyAlignment="1">
      <alignment horizontal="right" vertical="center"/>
    </xf>
    <xf numFmtId="172" fontId="6" fillId="7" borderId="0" xfId="1" applyNumberFormat="1" applyFont="1" applyFill="1" applyBorder="1" applyAlignment="1">
      <alignment horizontal="right" vertical="center"/>
    </xf>
    <xf numFmtId="0" fontId="2" fillId="3" borderId="0" xfId="0" applyFont="1" applyFill="1" applyAlignment="1">
      <alignment horizontal="left" vertical="top"/>
    </xf>
    <xf numFmtId="246" fontId="2" fillId="3" borderId="0" xfId="8" applyNumberFormat="1" applyFont="1" applyFill="1"/>
  </cellXfs>
  <cellStyles count="5203">
    <cellStyle name="_x000a_386grabber=M" xfId="66" xr:uid="{00000000-0005-0000-0000-000000000000}"/>
    <cellStyle name="=C:\WINNT\SYSTEM32\COMMAND.COM" xfId="67" xr:uid="{00000000-0005-0000-0000-000001000000}"/>
    <cellStyle name="20% - Accent1" xfId="38" builtinId="30" customBuiltin="1"/>
    <cellStyle name="20% - Accent1 2" xfId="68" xr:uid="{00000000-0005-0000-0000-000002000000}"/>
    <cellStyle name="20% - Accent2" xfId="41" builtinId="34" customBuiltin="1"/>
    <cellStyle name="20% - Accent2 2" xfId="69" xr:uid="{00000000-0005-0000-0000-000004000000}"/>
    <cellStyle name="20% - Accent3" xfId="44" builtinId="38" customBuiltin="1"/>
    <cellStyle name="20% - Accent3 2" xfId="70" xr:uid="{00000000-0005-0000-0000-000006000000}"/>
    <cellStyle name="20% - Accent4" xfId="47" builtinId="42" customBuiltin="1"/>
    <cellStyle name="20% - Accent4 2" xfId="71" xr:uid="{00000000-0005-0000-0000-000008000000}"/>
    <cellStyle name="20% - Accent5" xfId="50" builtinId="46" customBuiltin="1"/>
    <cellStyle name="20% - Accent5 2" xfId="72" xr:uid="{00000000-0005-0000-0000-00000A000000}"/>
    <cellStyle name="20% - Accent6" xfId="53" builtinId="50" customBuiltin="1"/>
    <cellStyle name="20% - Accent6 2" xfId="73" xr:uid="{00000000-0005-0000-0000-00000C000000}"/>
    <cellStyle name="40% - Accent1" xfId="39" builtinId="31" customBuiltin="1"/>
    <cellStyle name="40% - Accent1 2" xfId="74" xr:uid="{00000000-0005-0000-0000-000014000000}"/>
    <cellStyle name="40% - Accent2" xfId="42" builtinId="35" customBuiltin="1"/>
    <cellStyle name="40% - Accent2 2" xfId="75" xr:uid="{00000000-0005-0000-0000-000016000000}"/>
    <cellStyle name="40% - Accent3" xfId="45" builtinId="39" customBuiltin="1"/>
    <cellStyle name="40% - Accent3 2" xfId="76" xr:uid="{00000000-0005-0000-0000-000018000000}"/>
    <cellStyle name="40% - Accent4" xfId="48" builtinId="43" customBuiltin="1"/>
    <cellStyle name="40% - Accent4 2" xfId="77" xr:uid="{00000000-0005-0000-0000-00001A000000}"/>
    <cellStyle name="40% - Accent5" xfId="51" builtinId="47" customBuiltin="1"/>
    <cellStyle name="40% - Accent5 2" xfId="78" xr:uid="{00000000-0005-0000-0000-00001C000000}"/>
    <cellStyle name="40% - Accent6" xfId="54" builtinId="51" customBuiltin="1"/>
    <cellStyle name="40% - Accent6 2" xfId="79" xr:uid="{00000000-0005-0000-0000-00001E000000}"/>
    <cellStyle name="60% - Accent1" xfId="4358" builtinId="32" customBuiltin="1"/>
    <cellStyle name="60% - Accent1 2" xfId="80" xr:uid="{00000000-0005-0000-0000-000026000000}"/>
    <cellStyle name="60% - Accent2" xfId="4359" builtinId="36" customBuiltin="1"/>
    <cellStyle name="60% - Accent2 2" xfId="81" xr:uid="{00000000-0005-0000-0000-000028000000}"/>
    <cellStyle name="60% - Accent3" xfId="4360" builtinId="40" customBuiltin="1"/>
    <cellStyle name="60% - Accent3 2" xfId="82" xr:uid="{00000000-0005-0000-0000-00002A000000}"/>
    <cellStyle name="60% - Accent4" xfId="4361" builtinId="44" customBuiltin="1"/>
    <cellStyle name="60% - Accent4 2" xfId="83" xr:uid="{00000000-0005-0000-0000-00002C000000}"/>
    <cellStyle name="60% - Accent5" xfId="4362" builtinId="48" customBuiltin="1"/>
    <cellStyle name="60% - Accent5 2" xfId="84" xr:uid="{00000000-0005-0000-0000-00002E000000}"/>
    <cellStyle name="60% - Accent6" xfId="4363" builtinId="52" customBuiltin="1"/>
    <cellStyle name="60% - Accent6 2" xfId="85" xr:uid="{00000000-0005-0000-0000-000030000000}"/>
    <cellStyle name="60% - akcent 1" xfId="64" xr:uid="{00000000-0005-0000-0000-000032000000}"/>
    <cellStyle name="60% - Énfasis1 2" xfId="591" xr:uid="{00000000-0005-0000-0000-000033000000}"/>
    <cellStyle name="60% - Énfasis1 3" xfId="58" xr:uid="{00000000-0005-0000-0000-000034000000}"/>
    <cellStyle name="60% - Énfasis2 2" xfId="592" xr:uid="{00000000-0005-0000-0000-000035000000}"/>
    <cellStyle name="60% - Énfasis2 3" xfId="59" xr:uid="{00000000-0005-0000-0000-000036000000}"/>
    <cellStyle name="60% - Énfasis3 2" xfId="593" xr:uid="{00000000-0005-0000-0000-000037000000}"/>
    <cellStyle name="60% - Énfasis3 3" xfId="60" xr:uid="{00000000-0005-0000-0000-000038000000}"/>
    <cellStyle name="60% - Énfasis4 2" xfId="594" xr:uid="{00000000-0005-0000-0000-000039000000}"/>
    <cellStyle name="60% - Énfasis4 3" xfId="61" xr:uid="{00000000-0005-0000-0000-00003A000000}"/>
    <cellStyle name="60% - Énfasis5 2" xfId="595" xr:uid="{00000000-0005-0000-0000-00003B000000}"/>
    <cellStyle name="60% - Énfasis5 3" xfId="62" xr:uid="{00000000-0005-0000-0000-00003C000000}"/>
    <cellStyle name="60% - Énfasis6 2" xfId="596" xr:uid="{00000000-0005-0000-0000-00003D000000}"/>
    <cellStyle name="60% - Énfasis6 3" xfId="63" xr:uid="{00000000-0005-0000-0000-00003E000000}"/>
    <cellStyle name="A3 297 x 420 mm" xfId="86" xr:uid="{00000000-0005-0000-0000-00003F000000}"/>
    <cellStyle name="Accent1" xfId="37" builtinId="29" customBuiltin="1"/>
    <cellStyle name="Accent1 2" xfId="87" xr:uid="{00000000-0005-0000-0000-000040000000}"/>
    <cellStyle name="Accent2" xfId="40" builtinId="33" customBuiltin="1"/>
    <cellStyle name="Accent2 2" xfId="88" xr:uid="{00000000-0005-0000-0000-000042000000}"/>
    <cellStyle name="Accent3" xfId="43" builtinId="37" customBuiltin="1"/>
    <cellStyle name="Accent3 2" xfId="89" xr:uid="{00000000-0005-0000-0000-000044000000}"/>
    <cellStyle name="Accent4" xfId="46" builtinId="41" customBuiltin="1"/>
    <cellStyle name="Accent4 2" xfId="90" xr:uid="{00000000-0005-0000-0000-000046000000}"/>
    <cellStyle name="Accent5" xfId="49" builtinId="45" customBuiltin="1"/>
    <cellStyle name="Accent5 2" xfId="91" xr:uid="{00000000-0005-0000-0000-000048000000}"/>
    <cellStyle name="Accent6" xfId="52" builtinId="49" customBuiltin="1"/>
    <cellStyle name="Accent6 2" xfId="92" xr:uid="{00000000-0005-0000-0000-00004A000000}"/>
    <cellStyle name="Bad" xfId="27" builtinId="27" customBuiltin="1"/>
    <cellStyle name="Bad 2" xfId="93" xr:uid="{00000000-0005-0000-0000-00004C000000}"/>
    <cellStyle name="Cabece - Estilo3" xfId="94" xr:uid="{00000000-0005-0000-0000-00004F000000}"/>
    <cellStyle name="Cabecera 1" xfId="95" xr:uid="{00000000-0005-0000-0000-000050000000}"/>
    <cellStyle name="Cabecera 2" xfId="96" xr:uid="{00000000-0005-0000-0000-000051000000}"/>
    <cellStyle name="Calculation" xfId="30" builtinId="22" customBuiltin="1"/>
    <cellStyle name="Calculation 2" xfId="97" xr:uid="{00000000-0005-0000-0000-000052000000}"/>
    <cellStyle name="Calculation 2 2" xfId="771" xr:uid="{00000000-0005-0000-0000-000053000000}"/>
    <cellStyle name="Calculation 2 2 2" xfId="4709" xr:uid="{25857FF4-919E-467F-897A-97CD370105DF}"/>
    <cellStyle name="Calculation 2 2 3" xfId="4789" xr:uid="{5346804C-BB35-4F55-94FD-140DFD456D6D}"/>
    <cellStyle name="Calculation 2 2 4" xfId="4806" xr:uid="{1138AD81-B14D-48D0-B644-4818B29181FB}"/>
    <cellStyle name="Calculation 2 3" xfId="4708" xr:uid="{40B1C7EF-BA45-4B46-96D1-62B7BA6AEA1B}"/>
    <cellStyle name="Calculation 2 4" xfId="4790" xr:uid="{21F9B41B-E8DC-4294-9E8A-F79E008E3B04}"/>
    <cellStyle name="Calculation 2 5" xfId="4807" xr:uid="{223C1F02-E128-4FD5-B4C7-7FD33E6EC209}"/>
    <cellStyle name="Centered Heading" xfId="98" xr:uid="{00000000-0005-0000-0000-000058000000}"/>
    <cellStyle name="CenterHead" xfId="99" xr:uid="{00000000-0005-0000-0000-000059000000}"/>
    <cellStyle name="Check Cell" xfId="32" builtinId="23" customBuiltin="1"/>
    <cellStyle name="Check Cell 2" xfId="100" xr:uid="{00000000-0005-0000-0000-00005A000000}"/>
    <cellStyle name="Column_Title" xfId="101" xr:uid="{00000000-0005-0000-0000-00005C000000}"/>
    <cellStyle name="Comma" xfId="8" builtinId="3"/>
    <cellStyle name="Comma  - Style1" xfId="102" xr:uid="{00000000-0005-0000-0000-00005D000000}"/>
    <cellStyle name="Comma  - Style2" xfId="103" xr:uid="{00000000-0005-0000-0000-00005E000000}"/>
    <cellStyle name="Comma  - Style3" xfId="104" xr:uid="{00000000-0005-0000-0000-00005F000000}"/>
    <cellStyle name="Comma  - Style4" xfId="105" xr:uid="{00000000-0005-0000-0000-000060000000}"/>
    <cellStyle name="Comma  - Style5" xfId="106" xr:uid="{00000000-0005-0000-0000-000061000000}"/>
    <cellStyle name="Comma  - Style6" xfId="107" xr:uid="{00000000-0005-0000-0000-000062000000}"/>
    <cellStyle name="Comma  - Style7" xfId="108" xr:uid="{00000000-0005-0000-0000-000063000000}"/>
    <cellStyle name="Comma  - Style8" xfId="109" xr:uid="{00000000-0005-0000-0000-000064000000}"/>
    <cellStyle name="Comma %" xfId="110" xr:uid="{00000000-0005-0000-0000-000065000000}"/>
    <cellStyle name="Comma [0]" xfId="1" builtinId="6"/>
    <cellStyle name="Comma [0] 2" xfId="4392" xr:uid="{1A26D635-B930-486D-BA41-B95C36602B7B}"/>
    <cellStyle name="Comma [0] 3" xfId="4906" xr:uid="{336B7BBE-8216-4E74-9818-37D8335264C9}"/>
    <cellStyle name="Comma 0.0" xfId="111" xr:uid="{00000000-0005-0000-0000-000067000000}"/>
    <cellStyle name="Comma 0.0%" xfId="112" xr:uid="{00000000-0005-0000-0000-000068000000}"/>
    <cellStyle name="Comma 0.0_Caso 10" xfId="113" xr:uid="{00000000-0005-0000-0000-000069000000}"/>
    <cellStyle name="Comma 0.00" xfId="114" xr:uid="{00000000-0005-0000-0000-00006A000000}"/>
    <cellStyle name="Comma 0.00%" xfId="115" xr:uid="{00000000-0005-0000-0000-00006B000000}"/>
    <cellStyle name="Comma 0.00_Caso 10" xfId="116" xr:uid="{00000000-0005-0000-0000-00006C000000}"/>
    <cellStyle name="Comma 0.000" xfId="117" xr:uid="{00000000-0005-0000-0000-00006D000000}"/>
    <cellStyle name="Comma 0.000%" xfId="118" xr:uid="{00000000-0005-0000-0000-00006E000000}"/>
    <cellStyle name="Comma 0.000_Caso 10" xfId="119" xr:uid="{00000000-0005-0000-0000-00006F000000}"/>
    <cellStyle name="Comma 10" xfId="120" xr:uid="{00000000-0005-0000-0000-000070000000}"/>
    <cellStyle name="Comma 11" xfId="121" xr:uid="{00000000-0005-0000-0000-000071000000}"/>
    <cellStyle name="Comma 12" xfId="122" xr:uid="{00000000-0005-0000-0000-000072000000}"/>
    <cellStyle name="Comma 13" xfId="123" xr:uid="{00000000-0005-0000-0000-000073000000}"/>
    <cellStyle name="Comma 14" xfId="124" xr:uid="{00000000-0005-0000-0000-000074000000}"/>
    <cellStyle name="Comma 15" xfId="125" xr:uid="{00000000-0005-0000-0000-000075000000}"/>
    <cellStyle name="Comma 16" xfId="126" xr:uid="{00000000-0005-0000-0000-000076000000}"/>
    <cellStyle name="Comma 16 10" xfId="4910" xr:uid="{CB439FF1-CA94-4C92-85A1-F3E9E836544E}"/>
    <cellStyle name="Comma 16 2" xfId="127" xr:uid="{00000000-0005-0000-0000-000077000000}"/>
    <cellStyle name="Comma 16 2 10" xfId="772" xr:uid="{00000000-0005-0000-0000-000078000000}"/>
    <cellStyle name="Comma 16 2 10 2" xfId="2360" xr:uid="{00000000-0005-0000-0000-000079000000}"/>
    <cellStyle name="Comma 16 2 10 2 2" xfId="3942" xr:uid="{00000000-0005-0000-0000-00007A000000}"/>
    <cellStyle name="Comma 16 2 10 3" xfId="1569" xr:uid="{00000000-0005-0000-0000-00007B000000}"/>
    <cellStyle name="Comma 16 2 10 4" xfId="3151" xr:uid="{00000000-0005-0000-0000-00007C000000}"/>
    <cellStyle name="Comma 16 2 11" xfId="1965" xr:uid="{00000000-0005-0000-0000-00007D000000}"/>
    <cellStyle name="Comma 16 2 11 2" xfId="3547" xr:uid="{00000000-0005-0000-0000-00007E000000}"/>
    <cellStyle name="Comma 16 2 12" xfId="1175" xr:uid="{00000000-0005-0000-0000-00007F000000}"/>
    <cellStyle name="Comma 16 2 13" xfId="2756" xr:uid="{00000000-0005-0000-0000-000080000000}"/>
    <cellStyle name="Comma 16 2 2" xfId="294" xr:uid="{00000000-0005-0000-0000-000081000000}"/>
    <cellStyle name="Comma 16 2 2 10" xfId="1178" xr:uid="{00000000-0005-0000-0000-000082000000}"/>
    <cellStyle name="Comma 16 2 2 11" xfId="2760" xr:uid="{00000000-0005-0000-0000-000083000000}"/>
    <cellStyle name="Comma 16 2 2 2" xfId="313" xr:uid="{00000000-0005-0000-0000-000084000000}"/>
    <cellStyle name="Comma 16 2 2 2 10" xfId="2773" xr:uid="{00000000-0005-0000-0000-000085000000}"/>
    <cellStyle name="Comma 16 2 2 2 2" xfId="391" xr:uid="{00000000-0005-0000-0000-000086000000}"/>
    <cellStyle name="Comma 16 2 2 2 2 2" xfId="503" xr:uid="{00000000-0005-0000-0000-000087000000}"/>
    <cellStyle name="Comma 16 2 2 2 2 2 2" xfId="731" xr:uid="{00000000-0005-0000-0000-000088000000}"/>
    <cellStyle name="Comma 16 2 2 2 2 2 2 2" xfId="1131" xr:uid="{00000000-0005-0000-0000-000089000000}"/>
    <cellStyle name="Comma 16 2 2 2 2 2 2 2 2" xfId="2714" xr:uid="{00000000-0005-0000-0000-00008A000000}"/>
    <cellStyle name="Comma 16 2 2 2 2 2 2 2 2 2" xfId="4296" xr:uid="{00000000-0005-0000-0000-00008B000000}"/>
    <cellStyle name="Comma 16 2 2 2 2 2 2 2 3" xfId="1923" xr:uid="{00000000-0005-0000-0000-00008C000000}"/>
    <cellStyle name="Comma 16 2 2 2 2 2 2 2 4" xfId="3505" xr:uid="{00000000-0005-0000-0000-00008D000000}"/>
    <cellStyle name="Comma 16 2 2 2 2 2 2 3" xfId="2320" xr:uid="{00000000-0005-0000-0000-00008E000000}"/>
    <cellStyle name="Comma 16 2 2 2 2 2 2 3 2" xfId="3902" xr:uid="{00000000-0005-0000-0000-00008F000000}"/>
    <cellStyle name="Comma 16 2 2 2 2 2 2 4" xfId="1529" xr:uid="{00000000-0005-0000-0000-000090000000}"/>
    <cellStyle name="Comma 16 2 2 2 2 2 2 5" xfId="3111" xr:uid="{00000000-0005-0000-0000-000091000000}"/>
    <cellStyle name="Comma 16 2 2 2 2 2 3" xfId="910" xr:uid="{00000000-0005-0000-0000-000092000000}"/>
    <cellStyle name="Comma 16 2 2 2 2 2 3 2" xfId="2493" xr:uid="{00000000-0005-0000-0000-000093000000}"/>
    <cellStyle name="Comma 16 2 2 2 2 2 3 2 2" xfId="4075" xr:uid="{00000000-0005-0000-0000-000094000000}"/>
    <cellStyle name="Comma 16 2 2 2 2 2 3 3" xfId="1702" xr:uid="{00000000-0005-0000-0000-000095000000}"/>
    <cellStyle name="Comma 16 2 2 2 2 2 3 4" xfId="3284" xr:uid="{00000000-0005-0000-0000-000096000000}"/>
    <cellStyle name="Comma 16 2 2 2 2 2 4" xfId="2099" xr:uid="{00000000-0005-0000-0000-000097000000}"/>
    <cellStyle name="Comma 16 2 2 2 2 2 4 2" xfId="3681" xr:uid="{00000000-0005-0000-0000-000098000000}"/>
    <cellStyle name="Comma 16 2 2 2 2 2 5" xfId="1308" xr:uid="{00000000-0005-0000-0000-000099000000}"/>
    <cellStyle name="Comma 16 2 2 2 2 2 6" xfId="2890" xr:uid="{00000000-0005-0000-0000-00009A000000}"/>
    <cellStyle name="Comma 16 2 2 2 2 3" xfId="580" xr:uid="{00000000-0005-0000-0000-00009B000000}"/>
    <cellStyle name="Comma 16 2 2 2 2 3 2" xfId="987" xr:uid="{00000000-0005-0000-0000-00009C000000}"/>
    <cellStyle name="Comma 16 2 2 2 2 3 2 2" xfId="2570" xr:uid="{00000000-0005-0000-0000-00009D000000}"/>
    <cellStyle name="Comma 16 2 2 2 2 3 2 2 2" xfId="4152" xr:uid="{00000000-0005-0000-0000-00009E000000}"/>
    <cellStyle name="Comma 16 2 2 2 2 3 2 3" xfId="1779" xr:uid="{00000000-0005-0000-0000-00009F000000}"/>
    <cellStyle name="Comma 16 2 2 2 2 3 2 4" xfId="3361" xr:uid="{00000000-0005-0000-0000-0000A0000000}"/>
    <cellStyle name="Comma 16 2 2 2 2 3 3" xfId="2176" xr:uid="{00000000-0005-0000-0000-0000A1000000}"/>
    <cellStyle name="Comma 16 2 2 2 2 3 3 2" xfId="3758" xr:uid="{00000000-0005-0000-0000-0000A2000000}"/>
    <cellStyle name="Comma 16 2 2 2 2 3 4" xfId="1385" xr:uid="{00000000-0005-0000-0000-0000A3000000}"/>
    <cellStyle name="Comma 16 2 2 2 2 3 5" xfId="2967" xr:uid="{00000000-0005-0000-0000-0000A4000000}"/>
    <cellStyle name="Comma 16 2 2 2 2 4" xfId="655" xr:uid="{00000000-0005-0000-0000-0000A5000000}"/>
    <cellStyle name="Comma 16 2 2 2 2 4 2" xfId="1055" xr:uid="{00000000-0005-0000-0000-0000A6000000}"/>
    <cellStyle name="Comma 16 2 2 2 2 4 2 2" xfId="2638" xr:uid="{00000000-0005-0000-0000-0000A7000000}"/>
    <cellStyle name="Comma 16 2 2 2 2 4 2 2 2" xfId="4220" xr:uid="{00000000-0005-0000-0000-0000A8000000}"/>
    <cellStyle name="Comma 16 2 2 2 2 4 2 3" xfId="1847" xr:uid="{00000000-0005-0000-0000-0000A9000000}"/>
    <cellStyle name="Comma 16 2 2 2 2 4 2 4" xfId="3429" xr:uid="{00000000-0005-0000-0000-0000AA000000}"/>
    <cellStyle name="Comma 16 2 2 2 2 4 3" xfId="2244" xr:uid="{00000000-0005-0000-0000-0000AB000000}"/>
    <cellStyle name="Comma 16 2 2 2 2 4 3 2" xfId="3826" xr:uid="{00000000-0005-0000-0000-0000AC000000}"/>
    <cellStyle name="Comma 16 2 2 2 2 4 4" xfId="1453" xr:uid="{00000000-0005-0000-0000-0000AD000000}"/>
    <cellStyle name="Comma 16 2 2 2 2 4 5" xfId="3035" xr:uid="{00000000-0005-0000-0000-0000AE000000}"/>
    <cellStyle name="Comma 16 2 2 2 2 5" xfId="834" xr:uid="{00000000-0005-0000-0000-0000AF000000}"/>
    <cellStyle name="Comma 16 2 2 2 2 5 2" xfId="2417" xr:uid="{00000000-0005-0000-0000-0000B0000000}"/>
    <cellStyle name="Comma 16 2 2 2 2 5 2 2" xfId="3999" xr:uid="{00000000-0005-0000-0000-0000B1000000}"/>
    <cellStyle name="Comma 16 2 2 2 2 5 3" xfId="1626" xr:uid="{00000000-0005-0000-0000-0000B2000000}"/>
    <cellStyle name="Comma 16 2 2 2 2 5 4" xfId="3208" xr:uid="{00000000-0005-0000-0000-0000B3000000}"/>
    <cellStyle name="Comma 16 2 2 2 2 6" xfId="2023" xr:uid="{00000000-0005-0000-0000-0000B4000000}"/>
    <cellStyle name="Comma 16 2 2 2 2 6 2" xfId="3605" xr:uid="{00000000-0005-0000-0000-0000B5000000}"/>
    <cellStyle name="Comma 16 2 2 2 2 7" xfId="1232" xr:uid="{00000000-0005-0000-0000-0000B6000000}"/>
    <cellStyle name="Comma 16 2 2 2 2 8" xfId="2814" xr:uid="{00000000-0005-0000-0000-0000B7000000}"/>
    <cellStyle name="Comma 16 2 2 2 3" xfId="462" xr:uid="{00000000-0005-0000-0000-0000B8000000}"/>
    <cellStyle name="Comma 16 2 2 2 3 2" xfId="690" xr:uid="{00000000-0005-0000-0000-0000B9000000}"/>
    <cellStyle name="Comma 16 2 2 2 3 2 2" xfId="1090" xr:uid="{00000000-0005-0000-0000-0000BA000000}"/>
    <cellStyle name="Comma 16 2 2 2 3 2 2 2" xfId="2673" xr:uid="{00000000-0005-0000-0000-0000BB000000}"/>
    <cellStyle name="Comma 16 2 2 2 3 2 2 2 2" xfId="4255" xr:uid="{00000000-0005-0000-0000-0000BC000000}"/>
    <cellStyle name="Comma 16 2 2 2 3 2 2 3" xfId="1882" xr:uid="{00000000-0005-0000-0000-0000BD000000}"/>
    <cellStyle name="Comma 16 2 2 2 3 2 2 4" xfId="3464" xr:uid="{00000000-0005-0000-0000-0000BE000000}"/>
    <cellStyle name="Comma 16 2 2 2 3 2 3" xfId="2279" xr:uid="{00000000-0005-0000-0000-0000BF000000}"/>
    <cellStyle name="Comma 16 2 2 2 3 2 3 2" xfId="3861" xr:uid="{00000000-0005-0000-0000-0000C0000000}"/>
    <cellStyle name="Comma 16 2 2 2 3 2 4" xfId="1488" xr:uid="{00000000-0005-0000-0000-0000C1000000}"/>
    <cellStyle name="Comma 16 2 2 2 3 2 5" xfId="3070" xr:uid="{00000000-0005-0000-0000-0000C2000000}"/>
    <cellStyle name="Comma 16 2 2 2 3 3" xfId="869" xr:uid="{00000000-0005-0000-0000-0000C3000000}"/>
    <cellStyle name="Comma 16 2 2 2 3 3 2" xfId="2452" xr:uid="{00000000-0005-0000-0000-0000C4000000}"/>
    <cellStyle name="Comma 16 2 2 2 3 3 2 2" xfId="4034" xr:uid="{00000000-0005-0000-0000-0000C5000000}"/>
    <cellStyle name="Comma 16 2 2 2 3 3 3" xfId="1661" xr:uid="{00000000-0005-0000-0000-0000C6000000}"/>
    <cellStyle name="Comma 16 2 2 2 3 3 4" xfId="3243" xr:uid="{00000000-0005-0000-0000-0000C7000000}"/>
    <cellStyle name="Comma 16 2 2 2 3 4" xfId="2058" xr:uid="{00000000-0005-0000-0000-0000C8000000}"/>
    <cellStyle name="Comma 16 2 2 2 3 4 2" xfId="3640" xr:uid="{00000000-0005-0000-0000-0000C9000000}"/>
    <cellStyle name="Comma 16 2 2 2 3 5" xfId="1267" xr:uid="{00000000-0005-0000-0000-0000CA000000}"/>
    <cellStyle name="Comma 16 2 2 2 3 6" xfId="2849" xr:uid="{00000000-0005-0000-0000-0000CB000000}"/>
    <cellStyle name="Comma 16 2 2 2 4" xfId="539" xr:uid="{00000000-0005-0000-0000-0000CC000000}"/>
    <cellStyle name="Comma 16 2 2 2 4 2" xfId="946" xr:uid="{00000000-0005-0000-0000-0000CD000000}"/>
    <cellStyle name="Comma 16 2 2 2 4 2 2" xfId="2529" xr:uid="{00000000-0005-0000-0000-0000CE000000}"/>
    <cellStyle name="Comma 16 2 2 2 4 2 2 2" xfId="4111" xr:uid="{00000000-0005-0000-0000-0000CF000000}"/>
    <cellStyle name="Comma 16 2 2 2 4 2 3" xfId="1738" xr:uid="{00000000-0005-0000-0000-0000D0000000}"/>
    <cellStyle name="Comma 16 2 2 2 4 2 4" xfId="3320" xr:uid="{00000000-0005-0000-0000-0000D1000000}"/>
    <cellStyle name="Comma 16 2 2 2 4 3" xfId="2135" xr:uid="{00000000-0005-0000-0000-0000D2000000}"/>
    <cellStyle name="Comma 16 2 2 2 4 3 2" xfId="3717" xr:uid="{00000000-0005-0000-0000-0000D3000000}"/>
    <cellStyle name="Comma 16 2 2 2 4 4" xfId="1344" xr:uid="{00000000-0005-0000-0000-0000D4000000}"/>
    <cellStyle name="Comma 16 2 2 2 4 5" xfId="2926" xr:uid="{00000000-0005-0000-0000-0000D5000000}"/>
    <cellStyle name="Comma 16 2 2 2 5" xfId="614" xr:uid="{00000000-0005-0000-0000-0000D6000000}"/>
    <cellStyle name="Comma 16 2 2 2 5 2" xfId="1014" xr:uid="{00000000-0005-0000-0000-0000D7000000}"/>
    <cellStyle name="Comma 16 2 2 2 5 2 2" xfId="2597" xr:uid="{00000000-0005-0000-0000-0000D8000000}"/>
    <cellStyle name="Comma 16 2 2 2 5 2 2 2" xfId="4179" xr:uid="{00000000-0005-0000-0000-0000D9000000}"/>
    <cellStyle name="Comma 16 2 2 2 5 2 3" xfId="1806" xr:uid="{00000000-0005-0000-0000-0000DA000000}"/>
    <cellStyle name="Comma 16 2 2 2 5 2 4" xfId="3388" xr:uid="{00000000-0005-0000-0000-0000DB000000}"/>
    <cellStyle name="Comma 16 2 2 2 5 3" xfId="2203" xr:uid="{00000000-0005-0000-0000-0000DC000000}"/>
    <cellStyle name="Comma 16 2 2 2 5 3 2" xfId="3785" xr:uid="{00000000-0005-0000-0000-0000DD000000}"/>
    <cellStyle name="Comma 16 2 2 2 5 4" xfId="1412" xr:uid="{00000000-0005-0000-0000-0000DE000000}"/>
    <cellStyle name="Comma 16 2 2 2 5 5" xfId="2994" xr:uid="{00000000-0005-0000-0000-0000DF000000}"/>
    <cellStyle name="Comma 16 2 2 2 6" xfId="766" xr:uid="{00000000-0005-0000-0000-0000E0000000}"/>
    <cellStyle name="Comma 16 2 2 2 6 2" xfId="1166" xr:uid="{00000000-0005-0000-0000-0000E1000000}"/>
    <cellStyle name="Comma 16 2 2 2 6 2 2" xfId="2749" xr:uid="{00000000-0005-0000-0000-0000E2000000}"/>
    <cellStyle name="Comma 16 2 2 2 6 2 2 2" xfId="4331" xr:uid="{00000000-0005-0000-0000-0000E3000000}"/>
    <cellStyle name="Comma 16 2 2 2 6 2 3" xfId="1958" xr:uid="{00000000-0005-0000-0000-0000E4000000}"/>
    <cellStyle name="Comma 16 2 2 2 6 2 4" xfId="3540" xr:uid="{00000000-0005-0000-0000-0000E5000000}"/>
    <cellStyle name="Comma 16 2 2 2 6 3" xfId="2355" xr:uid="{00000000-0005-0000-0000-0000E6000000}"/>
    <cellStyle name="Comma 16 2 2 2 6 3 2" xfId="3937" xr:uid="{00000000-0005-0000-0000-0000E7000000}"/>
    <cellStyle name="Comma 16 2 2 2 6 4" xfId="1564" xr:uid="{00000000-0005-0000-0000-0000E8000000}"/>
    <cellStyle name="Comma 16 2 2 2 6 5" xfId="3146" xr:uid="{00000000-0005-0000-0000-0000E9000000}"/>
    <cellStyle name="Comma 16 2 2 2 7" xfId="793" xr:uid="{00000000-0005-0000-0000-0000EA000000}"/>
    <cellStyle name="Comma 16 2 2 2 7 2" xfId="2376" xr:uid="{00000000-0005-0000-0000-0000EB000000}"/>
    <cellStyle name="Comma 16 2 2 2 7 2 2" xfId="3958" xr:uid="{00000000-0005-0000-0000-0000EC000000}"/>
    <cellStyle name="Comma 16 2 2 2 7 3" xfId="1585" xr:uid="{00000000-0005-0000-0000-0000ED000000}"/>
    <cellStyle name="Comma 16 2 2 2 7 4" xfId="3167" xr:uid="{00000000-0005-0000-0000-0000EE000000}"/>
    <cellStyle name="Comma 16 2 2 2 8" xfId="1982" xr:uid="{00000000-0005-0000-0000-0000EF000000}"/>
    <cellStyle name="Comma 16 2 2 2 8 2" xfId="3564" xr:uid="{00000000-0005-0000-0000-0000F0000000}"/>
    <cellStyle name="Comma 16 2 2 2 9" xfId="1191" xr:uid="{00000000-0005-0000-0000-0000F1000000}"/>
    <cellStyle name="Comma 16 2 2 3" xfId="372" xr:uid="{00000000-0005-0000-0000-0000F2000000}"/>
    <cellStyle name="Comma 16 2 2 3 2" xfId="490" xr:uid="{00000000-0005-0000-0000-0000F3000000}"/>
    <cellStyle name="Comma 16 2 2 3 2 2" xfId="718" xr:uid="{00000000-0005-0000-0000-0000F4000000}"/>
    <cellStyle name="Comma 16 2 2 3 2 2 2" xfId="1118" xr:uid="{00000000-0005-0000-0000-0000F5000000}"/>
    <cellStyle name="Comma 16 2 2 3 2 2 2 2" xfId="2701" xr:uid="{00000000-0005-0000-0000-0000F6000000}"/>
    <cellStyle name="Comma 16 2 2 3 2 2 2 2 2" xfId="4283" xr:uid="{00000000-0005-0000-0000-0000F7000000}"/>
    <cellStyle name="Comma 16 2 2 3 2 2 2 3" xfId="1910" xr:uid="{00000000-0005-0000-0000-0000F8000000}"/>
    <cellStyle name="Comma 16 2 2 3 2 2 2 4" xfId="3492" xr:uid="{00000000-0005-0000-0000-0000F9000000}"/>
    <cellStyle name="Comma 16 2 2 3 2 2 3" xfId="2307" xr:uid="{00000000-0005-0000-0000-0000FA000000}"/>
    <cellStyle name="Comma 16 2 2 3 2 2 3 2" xfId="3889" xr:uid="{00000000-0005-0000-0000-0000FB000000}"/>
    <cellStyle name="Comma 16 2 2 3 2 2 4" xfId="1516" xr:uid="{00000000-0005-0000-0000-0000FC000000}"/>
    <cellStyle name="Comma 16 2 2 3 2 2 5" xfId="3098" xr:uid="{00000000-0005-0000-0000-0000FD000000}"/>
    <cellStyle name="Comma 16 2 2 3 2 3" xfId="897" xr:uid="{00000000-0005-0000-0000-0000FE000000}"/>
    <cellStyle name="Comma 16 2 2 3 2 3 2" xfId="2480" xr:uid="{00000000-0005-0000-0000-0000FF000000}"/>
    <cellStyle name="Comma 16 2 2 3 2 3 2 2" xfId="4062" xr:uid="{00000000-0005-0000-0000-000000010000}"/>
    <cellStyle name="Comma 16 2 2 3 2 3 3" xfId="1689" xr:uid="{00000000-0005-0000-0000-000001010000}"/>
    <cellStyle name="Comma 16 2 2 3 2 3 4" xfId="3271" xr:uid="{00000000-0005-0000-0000-000002010000}"/>
    <cellStyle name="Comma 16 2 2 3 2 4" xfId="2086" xr:uid="{00000000-0005-0000-0000-000003010000}"/>
    <cellStyle name="Comma 16 2 2 3 2 4 2" xfId="3668" xr:uid="{00000000-0005-0000-0000-000004010000}"/>
    <cellStyle name="Comma 16 2 2 3 2 5" xfId="1295" xr:uid="{00000000-0005-0000-0000-000005010000}"/>
    <cellStyle name="Comma 16 2 2 3 2 6" xfId="2877" xr:uid="{00000000-0005-0000-0000-000006010000}"/>
    <cellStyle name="Comma 16 2 2 3 3" xfId="567" xr:uid="{00000000-0005-0000-0000-000007010000}"/>
    <cellStyle name="Comma 16 2 2 3 3 2" xfId="974" xr:uid="{00000000-0005-0000-0000-000008010000}"/>
    <cellStyle name="Comma 16 2 2 3 3 2 2" xfId="2557" xr:uid="{00000000-0005-0000-0000-000009010000}"/>
    <cellStyle name="Comma 16 2 2 3 3 2 2 2" xfId="4139" xr:uid="{00000000-0005-0000-0000-00000A010000}"/>
    <cellStyle name="Comma 16 2 2 3 3 2 3" xfId="1766" xr:uid="{00000000-0005-0000-0000-00000B010000}"/>
    <cellStyle name="Comma 16 2 2 3 3 2 4" xfId="3348" xr:uid="{00000000-0005-0000-0000-00000C010000}"/>
    <cellStyle name="Comma 16 2 2 3 3 3" xfId="2163" xr:uid="{00000000-0005-0000-0000-00000D010000}"/>
    <cellStyle name="Comma 16 2 2 3 3 3 2" xfId="3745" xr:uid="{00000000-0005-0000-0000-00000E010000}"/>
    <cellStyle name="Comma 16 2 2 3 3 4" xfId="1372" xr:uid="{00000000-0005-0000-0000-00000F010000}"/>
    <cellStyle name="Comma 16 2 2 3 3 5" xfId="2954" xr:uid="{00000000-0005-0000-0000-000010010000}"/>
    <cellStyle name="Comma 16 2 2 3 4" xfId="642" xr:uid="{00000000-0005-0000-0000-000011010000}"/>
    <cellStyle name="Comma 16 2 2 3 4 2" xfId="1042" xr:uid="{00000000-0005-0000-0000-000012010000}"/>
    <cellStyle name="Comma 16 2 2 3 4 2 2" xfId="2625" xr:uid="{00000000-0005-0000-0000-000013010000}"/>
    <cellStyle name="Comma 16 2 2 3 4 2 2 2" xfId="4207" xr:uid="{00000000-0005-0000-0000-000014010000}"/>
    <cellStyle name="Comma 16 2 2 3 4 2 3" xfId="1834" xr:uid="{00000000-0005-0000-0000-000015010000}"/>
    <cellStyle name="Comma 16 2 2 3 4 2 4" xfId="3416" xr:uid="{00000000-0005-0000-0000-000016010000}"/>
    <cellStyle name="Comma 16 2 2 3 4 3" xfId="2231" xr:uid="{00000000-0005-0000-0000-000017010000}"/>
    <cellStyle name="Comma 16 2 2 3 4 3 2" xfId="3813" xr:uid="{00000000-0005-0000-0000-000018010000}"/>
    <cellStyle name="Comma 16 2 2 3 4 4" xfId="1440" xr:uid="{00000000-0005-0000-0000-000019010000}"/>
    <cellStyle name="Comma 16 2 2 3 4 5" xfId="3022" xr:uid="{00000000-0005-0000-0000-00001A010000}"/>
    <cellStyle name="Comma 16 2 2 3 5" xfId="821" xr:uid="{00000000-0005-0000-0000-00001B010000}"/>
    <cellStyle name="Comma 16 2 2 3 5 2" xfId="2404" xr:uid="{00000000-0005-0000-0000-00001C010000}"/>
    <cellStyle name="Comma 16 2 2 3 5 2 2" xfId="3986" xr:uid="{00000000-0005-0000-0000-00001D010000}"/>
    <cellStyle name="Comma 16 2 2 3 5 3" xfId="1613" xr:uid="{00000000-0005-0000-0000-00001E010000}"/>
    <cellStyle name="Comma 16 2 2 3 5 4" xfId="3195" xr:uid="{00000000-0005-0000-0000-00001F010000}"/>
    <cellStyle name="Comma 16 2 2 3 6" xfId="2010" xr:uid="{00000000-0005-0000-0000-000020010000}"/>
    <cellStyle name="Comma 16 2 2 3 6 2" xfId="3592" xr:uid="{00000000-0005-0000-0000-000021010000}"/>
    <cellStyle name="Comma 16 2 2 3 7" xfId="1219" xr:uid="{00000000-0005-0000-0000-000022010000}"/>
    <cellStyle name="Comma 16 2 2 3 8" xfId="2801" xr:uid="{00000000-0005-0000-0000-000023010000}"/>
    <cellStyle name="Comma 16 2 2 4" xfId="449" xr:uid="{00000000-0005-0000-0000-000024010000}"/>
    <cellStyle name="Comma 16 2 2 4 2" xfId="677" xr:uid="{00000000-0005-0000-0000-000025010000}"/>
    <cellStyle name="Comma 16 2 2 4 2 2" xfId="1077" xr:uid="{00000000-0005-0000-0000-000026010000}"/>
    <cellStyle name="Comma 16 2 2 4 2 2 2" xfId="2660" xr:uid="{00000000-0005-0000-0000-000027010000}"/>
    <cellStyle name="Comma 16 2 2 4 2 2 2 2" xfId="4242" xr:uid="{00000000-0005-0000-0000-000028010000}"/>
    <cellStyle name="Comma 16 2 2 4 2 2 3" xfId="1869" xr:uid="{00000000-0005-0000-0000-000029010000}"/>
    <cellStyle name="Comma 16 2 2 4 2 2 4" xfId="3451" xr:uid="{00000000-0005-0000-0000-00002A010000}"/>
    <cellStyle name="Comma 16 2 2 4 2 3" xfId="2266" xr:uid="{00000000-0005-0000-0000-00002B010000}"/>
    <cellStyle name="Comma 16 2 2 4 2 3 2" xfId="3848" xr:uid="{00000000-0005-0000-0000-00002C010000}"/>
    <cellStyle name="Comma 16 2 2 4 2 4" xfId="1475" xr:uid="{00000000-0005-0000-0000-00002D010000}"/>
    <cellStyle name="Comma 16 2 2 4 2 5" xfId="3057" xr:uid="{00000000-0005-0000-0000-00002E010000}"/>
    <cellStyle name="Comma 16 2 2 4 3" xfId="856" xr:uid="{00000000-0005-0000-0000-00002F010000}"/>
    <cellStyle name="Comma 16 2 2 4 3 2" xfId="2439" xr:uid="{00000000-0005-0000-0000-000030010000}"/>
    <cellStyle name="Comma 16 2 2 4 3 2 2" xfId="4021" xr:uid="{00000000-0005-0000-0000-000031010000}"/>
    <cellStyle name="Comma 16 2 2 4 3 3" xfId="1648" xr:uid="{00000000-0005-0000-0000-000032010000}"/>
    <cellStyle name="Comma 16 2 2 4 3 4" xfId="3230" xr:uid="{00000000-0005-0000-0000-000033010000}"/>
    <cellStyle name="Comma 16 2 2 4 4" xfId="2045" xr:uid="{00000000-0005-0000-0000-000034010000}"/>
    <cellStyle name="Comma 16 2 2 4 4 2" xfId="3627" xr:uid="{00000000-0005-0000-0000-000035010000}"/>
    <cellStyle name="Comma 16 2 2 4 5" xfId="1254" xr:uid="{00000000-0005-0000-0000-000036010000}"/>
    <cellStyle name="Comma 16 2 2 4 6" xfId="2836" xr:uid="{00000000-0005-0000-0000-000037010000}"/>
    <cellStyle name="Comma 16 2 2 5" xfId="526" xr:uid="{00000000-0005-0000-0000-000038010000}"/>
    <cellStyle name="Comma 16 2 2 5 2" xfId="933" xr:uid="{00000000-0005-0000-0000-000039010000}"/>
    <cellStyle name="Comma 16 2 2 5 2 2" xfId="2516" xr:uid="{00000000-0005-0000-0000-00003A010000}"/>
    <cellStyle name="Comma 16 2 2 5 2 2 2" xfId="4098" xr:uid="{00000000-0005-0000-0000-00003B010000}"/>
    <cellStyle name="Comma 16 2 2 5 2 3" xfId="1725" xr:uid="{00000000-0005-0000-0000-00003C010000}"/>
    <cellStyle name="Comma 16 2 2 5 2 4" xfId="3307" xr:uid="{00000000-0005-0000-0000-00003D010000}"/>
    <cellStyle name="Comma 16 2 2 5 3" xfId="2122" xr:uid="{00000000-0005-0000-0000-00003E010000}"/>
    <cellStyle name="Comma 16 2 2 5 3 2" xfId="3704" xr:uid="{00000000-0005-0000-0000-00003F010000}"/>
    <cellStyle name="Comma 16 2 2 5 4" xfId="1331" xr:uid="{00000000-0005-0000-0000-000040010000}"/>
    <cellStyle name="Comma 16 2 2 5 5" xfId="2913" xr:uid="{00000000-0005-0000-0000-000041010000}"/>
    <cellStyle name="Comma 16 2 2 6" xfId="601" xr:uid="{00000000-0005-0000-0000-000042010000}"/>
    <cellStyle name="Comma 16 2 2 6 2" xfId="1001" xr:uid="{00000000-0005-0000-0000-000043010000}"/>
    <cellStyle name="Comma 16 2 2 6 2 2" xfId="2584" xr:uid="{00000000-0005-0000-0000-000044010000}"/>
    <cellStyle name="Comma 16 2 2 6 2 2 2" xfId="4166" xr:uid="{00000000-0005-0000-0000-000045010000}"/>
    <cellStyle name="Comma 16 2 2 6 2 3" xfId="1793" xr:uid="{00000000-0005-0000-0000-000046010000}"/>
    <cellStyle name="Comma 16 2 2 6 2 4" xfId="3375" xr:uid="{00000000-0005-0000-0000-000047010000}"/>
    <cellStyle name="Comma 16 2 2 6 3" xfId="2190" xr:uid="{00000000-0005-0000-0000-000048010000}"/>
    <cellStyle name="Comma 16 2 2 6 3 2" xfId="3772" xr:uid="{00000000-0005-0000-0000-000049010000}"/>
    <cellStyle name="Comma 16 2 2 6 4" xfId="1399" xr:uid="{00000000-0005-0000-0000-00004A010000}"/>
    <cellStyle name="Comma 16 2 2 6 5" xfId="2981" xr:uid="{00000000-0005-0000-0000-00004B010000}"/>
    <cellStyle name="Comma 16 2 2 7" xfId="753" xr:uid="{00000000-0005-0000-0000-00004C010000}"/>
    <cellStyle name="Comma 16 2 2 7 2" xfId="1153" xr:uid="{00000000-0005-0000-0000-00004D010000}"/>
    <cellStyle name="Comma 16 2 2 7 2 2" xfId="2736" xr:uid="{00000000-0005-0000-0000-00004E010000}"/>
    <cellStyle name="Comma 16 2 2 7 2 2 2" xfId="4318" xr:uid="{00000000-0005-0000-0000-00004F010000}"/>
    <cellStyle name="Comma 16 2 2 7 2 3" xfId="1945" xr:uid="{00000000-0005-0000-0000-000050010000}"/>
    <cellStyle name="Comma 16 2 2 7 2 4" xfId="3527" xr:uid="{00000000-0005-0000-0000-000051010000}"/>
    <cellStyle name="Comma 16 2 2 7 3" xfId="2342" xr:uid="{00000000-0005-0000-0000-000052010000}"/>
    <cellStyle name="Comma 16 2 2 7 3 2" xfId="3924" xr:uid="{00000000-0005-0000-0000-000053010000}"/>
    <cellStyle name="Comma 16 2 2 7 4" xfId="1551" xr:uid="{00000000-0005-0000-0000-000054010000}"/>
    <cellStyle name="Comma 16 2 2 7 5" xfId="3133" xr:uid="{00000000-0005-0000-0000-000055010000}"/>
    <cellStyle name="Comma 16 2 2 8" xfId="780" xr:uid="{00000000-0005-0000-0000-000056010000}"/>
    <cellStyle name="Comma 16 2 2 8 2" xfId="2363" xr:uid="{00000000-0005-0000-0000-000057010000}"/>
    <cellStyle name="Comma 16 2 2 8 2 2" xfId="3945" xr:uid="{00000000-0005-0000-0000-000058010000}"/>
    <cellStyle name="Comma 16 2 2 8 3" xfId="1572" xr:uid="{00000000-0005-0000-0000-000059010000}"/>
    <cellStyle name="Comma 16 2 2 8 4" xfId="3154" xr:uid="{00000000-0005-0000-0000-00005A010000}"/>
    <cellStyle name="Comma 16 2 2 9" xfId="1969" xr:uid="{00000000-0005-0000-0000-00005B010000}"/>
    <cellStyle name="Comma 16 2 2 9 2" xfId="3551" xr:uid="{00000000-0005-0000-0000-00005C010000}"/>
    <cellStyle name="Comma 16 2 3" xfId="304" xr:uid="{00000000-0005-0000-0000-00005D010000}"/>
    <cellStyle name="Comma 16 2 3 10" xfId="2767" xr:uid="{00000000-0005-0000-0000-00005E010000}"/>
    <cellStyle name="Comma 16 2 3 2" xfId="382" xr:uid="{00000000-0005-0000-0000-00005F010000}"/>
    <cellStyle name="Comma 16 2 3 2 2" xfId="497" xr:uid="{00000000-0005-0000-0000-000060010000}"/>
    <cellStyle name="Comma 16 2 3 2 2 2" xfId="725" xr:uid="{00000000-0005-0000-0000-000061010000}"/>
    <cellStyle name="Comma 16 2 3 2 2 2 2" xfId="1125" xr:uid="{00000000-0005-0000-0000-000062010000}"/>
    <cellStyle name="Comma 16 2 3 2 2 2 2 2" xfId="2708" xr:uid="{00000000-0005-0000-0000-000063010000}"/>
    <cellStyle name="Comma 16 2 3 2 2 2 2 2 2" xfId="4290" xr:uid="{00000000-0005-0000-0000-000064010000}"/>
    <cellStyle name="Comma 16 2 3 2 2 2 2 3" xfId="1917" xr:uid="{00000000-0005-0000-0000-000065010000}"/>
    <cellStyle name="Comma 16 2 3 2 2 2 2 4" xfId="3499" xr:uid="{00000000-0005-0000-0000-000066010000}"/>
    <cellStyle name="Comma 16 2 3 2 2 2 3" xfId="2314" xr:uid="{00000000-0005-0000-0000-000067010000}"/>
    <cellStyle name="Comma 16 2 3 2 2 2 3 2" xfId="3896" xr:uid="{00000000-0005-0000-0000-000068010000}"/>
    <cellStyle name="Comma 16 2 3 2 2 2 4" xfId="1523" xr:uid="{00000000-0005-0000-0000-000069010000}"/>
    <cellStyle name="Comma 16 2 3 2 2 2 5" xfId="3105" xr:uid="{00000000-0005-0000-0000-00006A010000}"/>
    <cellStyle name="Comma 16 2 3 2 2 3" xfId="904" xr:uid="{00000000-0005-0000-0000-00006B010000}"/>
    <cellStyle name="Comma 16 2 3 2 2 3 2" xfId="2487" xr:uid="{00000000-0005-0000-0000-00006C010000}"/>
    <cellStyle name="Comma 16 2 3 2 2 3 2 2" xfId="4069" xr:uid="{00000000-0005-0000-0000-00006D010000}"/>
    <cellStyle name="Comma 16 2 3 2 2 3 3" xfId="1696" xr:uid="{00000000-0005-0000-0000-00006E010000}"/>
    <cellStyle name="Comma 16 2 3 2 2 3 4" xfId="3278" xr:uid="{00000000-0005-0000-0000-00006F010000}"/>
    <cellStyle name="Comma 16 2 3 2 2 4" xfId="2093" xr:uid="{00000000-0005-0000-0000-000070010000}"/>
    <cellStyle name="Comma 16 2 3 2 2 4 2" xfId="3675" xr:uid="{00000000-0005-0000-0000-000071010000}"/>
    <cellStyle name="Comma 16 2 3 2 2 5" xfId="1302" xr:uid="{00000000-0005-0000-0000-000072010000}"/>
    <cellStyle name="Comma 16 2 3 2 2 6" xfId="2884" xr:uid="{00000000-0005-0000-0000-000073010000}"/>
    <cellStyle name="Comma 16 2 3 2 3" xfId="574" xr:uid="{00000000-0005-0000-0000-000074010000}"/>
    <cellStyle name="Comma 16 2 3 2 3 2" xfId="981" xr:uid="{00000000-0005-0000-0000-000075010000}"/>
    <cellStyle name="Comma 16 2 3 2 3 2 2" xfId="2564" xr:uid="{00000000-0005-0000-0000-000076010000}"/>
    <cellStyle name="Comma 16 2 3 2 3 2 2 2" xfId="4146" xr:uid="{00000000-0005-0000-0000-000077010000}"/>
    <cellStyle name="Comma 16 2 3 2 3 2 3" xfId="1773" xr:uid="{00000000-0005-0000-0000-000078010000}"/>
    <cellStyle name="Comma 16 2 3 2 3 2 4" xfId="3355" xr:uid="{00000000-0005-0000-0000-000079010000}"/>
    <cellStyle name="Comma 16 2 3 2 3 3" xfId="2170" xr:uid="{00000000-0005-0000-0000-00007A010000}"/>
    <cellStyle name="Comma 16 2 3 2 3 3 2" xfId="3752" xr:uid="{00000000-0005-0000-0000-00007B010000}"/>
    <cellStyle name="Comma 16 2 3 2 3 4" xfId="1379" xr:uid="{00000000-0005-0000-0000-00007C010000}"/>
    <cellStyle name="Comma 16 2 3 2 3 5" xfId="2961" xr:uid="{00000000-0005-0000-0000-00007D010000}"/>
    <cellStyle name="Comma 16 2 3 2 4" xfId="649" xr:uid="{00000000-0005-0000-0000-00007E010000}"/>
    <cellStyle name="Comma 16 2 3 2 4 2" xfId="1049" xr:uid="{00000000-0005-0000-0000-00007F010000}"/>
    <cellStyle name="Comma 16 2 3 2 4 2 2" xfId="2632" xr:uid="{00000000-0005-0000-0000-000080010000}"/>
    <cellStyle name="Comma 16 2 3 2 4 2 2 2" xfId="4214" xr:uid="{00000000-0005-0000-0000-000081010000}"/>
    <cellStyle name="Comma 16 2 3 2 4 2 3" xfId="1841" xr:uid="{00000000-0005-0000-0000-000082010000}"/>
    <cellStyle name="Comma 16 2 3 2 4 2 4" xfId="3423" xr:uid="{00000000-0005-0000-0000-000083010000}"/>
    <cellStyle name="Comma 16 2 3 2 4 3" xfId="2238" xr:uid="{00000000-0005-0000-0000-000084010000}"/>
    <cellStyle name="Comma 16 2 3 2 4 3 2" xfId="3820" xr:uid="{00000000-0005-0000-0000-000085010000}"/>
    <cellStyle name="Comma 16 2 3 2 4 4" xfId="1447" xr:uid="{00000000-0005-0000-0000-000086010000}"/>
    <cellStyle name="Comma 16 2 3 2 4 5" xfId="3029" xr:uid="{00000000-0005-0000-0000-000087010000}"/>
    <cellStyle name="Comma 16 2 3 2 5" xfId="828" xr:uid="{00000000-0005-0000-0000-000088010000}"/>
    <cellStyle name="Comma 16 2 3 2 5 2" xfId="2411" xr:uid="{00000000-0005-0000-0000-000089010000}"/>
    <cellStyle name="Comma 16 2 3 2 5 2 2" xfId="3993" xr:uid="{00000000-0005-0000-0000-00008A010000}"/>
    <cellStyle name="Comma 16 2 3 2 5 3" xfId="1620" xr:uid="{00000000-0005-0000-0000-00008B010000}"/>
    <cellStyle name="Comma 16 2 3 2 5 4" xfId="3202" xr:uid="{00000000-0005-0000-0000-00008C010000}"/>
    <cellStyle name="Comma 16 2 3 2 6" xfId="2017" xr:uid="{00000000-0005-0000-0000-00008D010000}"/>
    <cellStyle name="Comma 16 2 3 2 6 2" xfId="3599" xr:uid="{00000000-0005-0000-0000-00008E010000}"/>
    <cellStyle name="Comma 16 2 3 2 7" xfId="1226" xr:uid="{00000000-0005-0000-0000-00008F010000}"/>
    <cellStyle name="Comma 16 2 3 2 8" xfId="2808" xr:uid="{00000000-0005-0000-0000-000090010000}"/>
    <cellStyle name="Comma 16 2 3 3" xfId="456" xr:uid="{00000000-0005-0000-0000-000091010000}"/>
    <cellStyle name="Comma 16 2 3 3 2" xfId="684" xr:uid="{00000000-0005-0000-0000-000092010000}"/>
    <cellStyle name="Comma 16 2 3 3 2 2" xfId="1084" xr:uid="{00000000-0005-0000-0000-000093010000}"/>
    <cellStyle name="Comma 16 2 3 3 2 2 2" xfId="2667" xr:uid="{00000000-0005-0000-0000-000094010000}"/>
    <cellStyle name="Comma 16 2 3 3 2 2 2 2" xfId="4249" xr:uid="{00000000-0005-0000-0000-000095010000}"/>
    <cellStyle name="Comma 16 2 3 3 2 2 3" xfId="1876" xr:uid="{00000000-0005-0000-0000-000096010000}"/>
    <cellStyle name="Comma 16 2 3 3 2 2 4" xfId="3458" xr:uid="{00000000-0005-0000-0000-000097010000}"/>
    <cellStyle name="Comma 16 2 3 3 2 3" xfId="2273" xr:uid="{00000000-0005-0000-0000-000098010000}"/>
    <cellStyle name="Comma 16 2 3 3 2 3 2" xfId="3855" xr:uid="{00000000-0005-0000-0000-000099010000}"/>
    <cellStyle name="Comma 16 2 3 3 2 4" xfId="1482" xr:uid="{00000000-0005-0000-0000-00009A010000}"/>
    <cellStyle name="Comma 16 2 3 3 2 5" xfId="3064" xr:uid="{00000000-0005-0000-0000-00009B010000}"/>
    <cellStyle name="Comma 16 2 3 3 3" xfId="863" xr:uid="{00000000-0005-0000-0000-00009C010000}"/>
    <cellStyle name="Comma 16 2 3 3 3 2" xfId="2446" xr:uid="{00000000-0005-0000-0000-00009D010000}"/>
    <cellStyle name="Comma 16 2 3 3 3 2 2" xfId="4028" xr:uid="{00000000-0005-0000-0000-00009E010000}"/>
    <cellStyle name="Comma 16 2 3 3 3 3" xfId="1655" xr:uid="{00000000-0005-0000-0000-00009F010000}"/>
    <cellStyle name="Comma 16 2 3 3 3 4" xfId="3237" xr:uid="{00000000-0005-0000-0000-0000A0010000}"/>
    <cellStyle name="Comma 16 2 3 3 4" xfId="2052" xr:uid="{00000000-0005-0000-0000-0000A1010000}"/>
    <cellStyle name="Comma 16 2 3 3 4 2" xfId="3634" xr:uid="{00000000-0005-0000-0000-0000A2010000}"/>
    <cellStyle name="Comma 16 2 3 3 5" xfId="1261" xr:uid="{00000000-0005-0000-0000-0000A3010000}"/>
    <cellStyle name="Comma 16 2 3 3 6" xfId="2843" xr:uid="{00000000-0005-0000-0000-0000A4010000}"/>
    <cellStyle name="Comma 16 2 3 4" xfId="533" xr:uid="{00000000-0005-0000-0000-0000A5010000}"/>
    <cellStyle name="Comma 16 2 3 4 2" xfId="940" xr:uid="{00000000-0005-0000-0000-0000A6010000}"/>
    <cellStyle name="Comma 16 2 3 4 2 2" xfId="2523" xr:uid="{00000000-0005-0000-0000-0000A7010000}"/>
    <cellStyle name="Comma 16 2 3 4 2 2 2" xfId="4105" xr:uid="{00000000-0005-0000-0000-0000A8010000}"/>
    <cellStyle name="Comma 16 2 3 4 2 3" xfId="1732" xr:uid="{00000000-0005-0000-0000-0000A9010000}"/>
    <cellStyle name="Comma 16 2 3 4 2 4" xfId="3314" xr:uid="{00000000-0005-0000-0000-0000AA010000}"/>
    <cellStyle name="Comma 16 2 3 4 3" xfId="2129" xr:uid="{00000000-0005-0000-0000-0000AB010000}"/>
    <cellStyle name="Comma 16 2 3 4 3 2" xfId="3711" xr:uid="{00000000-0005-0000-0000-0000AC010000}"/>
    <cellStyle name="Comma 16 2 3 4 4" xfId="1338" xr:uid="{00000000-0005-0000-0000-0000AD010000}"/>
    <cellStyle name="Comma 16 2 3 4 5" xfId="2920" xr:uid="{00000000-0005-0000-0000-0000AE010000}"/>
    <cellStyle name="Comma 16 2 3 5" xfId="608" xr:uid="{00000000-0005-0000-0000-0000AF010000}"/>
    <cellStyle name="Comma 16 2 3 5 2" xfId="1008" xr:uid="{00000000-0005-0000-0000-0000B0010000}"/>
    <cellStyle name="Comma 16 2 3 5 2 2" xfId="2591" xr:uid="{00000000-0005-0000-0000-0000B1010000}"/>
    <cellStyle name="Comma 16 2 3 5 2 2 2" xfId="4173" xr:uid="{00000000-0005-0000-0000-0000B2010000}"/>
    <cellStyle name="Comma 16 2 3 5 2 3" xfId="1800" xr:uid="{00000000-0005-0000-0000-0000B3010000}"/>
    <cellStyle name="Comma 16 2 3 5 2 4" xfId="3382" xr:uid="{00000000-0005-0000-0000-0000B4010000}"/>
    <cellStyle name="Comma 16 2 3 5 3" xfId="2197" xr:uid="{00000000-0005-0000-0000-0000B5010000}"/>
    <cellStyle name="Comma 16 2 3 5 3 2" xfId="3779" xr:uid="{00000000-0005-0000-0000-0000B6010000}"/>
    <cellStyle name="Comma 16 2 3 5 4" xfId="1406" xr:uid="{00000000-0005-0000-0000-0000B7010000}"/>
    <cellStyle name="Comma 16 2 3 5 5" xfId="2988" xr:uid="{00000000-0005-0000-0000-0000B8010000}"/>
    <cellStyle name="Comma 16 2 3 6" xfId="760" xr:uid="{00000000-0005-0000-0000-0000B9010000}"/>
    <cellStyle name="Comma 16 2 3 6 2" xfId="1160" xr:uid="{00000000-0005-0000-0000-0000BA010000}"/>
    <cellStyle name="Comma 16 2 3 6 2 2" xfId="2743" xr:uid="{00000000-0005-0000-0000-0000BB010000}"/>
    <cellStyle name="Comma 16 2 3 6 2 2 2" xfId="4325" xr:uid="{00000000-0005-0000-0000-0000BC010000}"/>
    <cellStyle name="Comma 16 2 3 6 2 3" xfId="1952" xr:uid="{00000000-0005-0000-0000-0000BD010000}"/>
    <cellStyle name="Comma 16 2 3 6 2 4" xfId="3534" xr:uid="{00000000-0005-0000-0000-0000BE010000}"/>
    <cellStyle name="Comma 16 2 3 6 3" xfId="2349" xr:uid="{00000000-0005-0000-0000-0000BF010000}"/>
    <cellStyle name="Comma 16 2 3 6 3 2" xfId="3931" xr:uid="{00000000-0005-0000-0000-0000C0010000}"/>
    <cellStyle name="Comma 16 2 3 6 4" xfId="1558" xr:uid="{00000000-0005-0000-0000-0000C1010000}"/>
    <cellStyle name="Comma 16 2 3 6 5" xfId="3140" xr:uid="{00000000-0005-0000-0000-0000C2010000}"/>
    <cellStyle name="Comma 16 2 3 7" xfId="787" xr:uid="{00000000-0005-0000-0000-0000C3010000}"/>
    <cellStyle name="Comma 16 2 3 7 2" xfId="2370" xr:uid="{00000000-0005-0000-0000-0000C4010000}"/>
    <cellStyle name="Comma 16 2 3 7 2 2" xfId="3952" xr:uid="{00000000-0005-0000-0000-0000C5010000}"/>
    <cellStyle name="Comma 16 2 3 7 3" xfId="1579" xr:uid="{00000000-0005-0000-0000-0000C6010000}"/>
    <cellStyle name="Comma 16 2 3 7 4" xfId="3161" xr:uid="{00000000-0005-0000-0000-0000C7010000}"/>
    <cellStyle name="Comma 16 2 3 8" xfId="1976" xr:uid="{00000000-0005-0000-0000-0000C8010000}"/>
    <cellStyle name="Comma 16 2 3 8 2" xfId="3558" xr:uid="{00000000-0005-0000-0000-0000C9010000}"/>
    <cellStyle name="Comma 16 2 3 9" xfId="1185" xr:uid="{00000000-0005-0000-0000-0000CA010000}"/>
    <cellStyle name="Comma 16 2 4" xfId="356" xr:uid="{00000000-0005-0000-0000-0000CB010000}"/>
    <cellStyle name="Comma 16 2 4 2" xfId="477" xr:uid="{00000000-0005-0000-0000-0000CC010000}"/>
    <cellStyle name="Comma 16 2 4 2 2" xfId="705" xr:uid="{00000000-0005-0000-0000-0000CD010000}"/>
    <cellStyle name="Comma 16 2 4 2 2 2" xfId="1105" xr:uid="{00000000-0005-0000-0000-0000CE010000}"/>
    <cellStyle name="Comma 16 2 4 2 2 2 2" xfId="2688" xr:uid="{00000000-0005-0000-0000-0000CF010000}"/>
    <cellStyle name="Comma 16 2 4 2 2 2 2 2" xfId="4270" xr:uid="{00000000-0005-0000-0000-0000D0010000}"/>
    <cellStyle name="Comma 16 2 4 2 2 2 3" xfId="1897" xr:uid="{00000000-0005-0000-0000-0000D1010000}"/>
    <cellStyle name="Comma 16 2 4 2 2 2 4" xfId="3479" xr:uid="{00000000-0005-0000-0000-0000D2010000}"/>
    <cellStyle name="Comma 16 2 4 2 2 3" xfId="2294" xr:uid="{00000000-0005-0000-0000-0000D3010000}"/>
    <cellStyle name="Comma 16 2 4 2 2 3 2" xfId="3876" xr:uid="{00000000-0005-0000-0000-0000D4010000}"/>
    <cellStyle name="Comma 16 2 4 2 2 4" xfId="1503" xr:uid="{00000000-0005-0000-0000-0000D5010000}"/>
    <cellStyle name="Comma 16 2 4 2 2 5" xfId="3085" xr:uid="{00000000-0005-0000-0000-0000D6010000}"/>
    <cellStyle name="Comma 16 2 4 2 3" xfId="884" xr:uid="{00000000-0005-0000-0000-0000D7010000}"/>
    <cellStyle name="Comma 16 2 4 2 3 2" xfId="2467" xr:uid="{00000000-0005-0000-0000-0000D8010000}"/>
    <cellStyle name="Comma 16 2 4 2 3 2 2" xfId="4049" xr:uid="{00000000-0005-0000-0000-0000D9010000}"/>
    <cellStyle name="Comma 16 2 4 2 3 3" xfId="1676" xr:uid="{00000000-0005-0000-0000-0000DA010000}"/>
    <cellStyle name="Comma 16 2 4 2 3 4" xfId="3258" xr:uid="{00000000-0005-0000-0000-0000DB010000}"/>
    <cellStyle name="Comma 16 2 4 2 4" xfId="2073" xr:uid="{00000000-0005-0000-0000-0000DC010000}"/>
    <cellStyle name="Comma 16 2 4 2 4 2" xfId="3655" xr:uid="{00000000-0005-0000-0000-0000DD010000}"/>
    <cellStyle name="Comma 16 2 4 2 5" xfId="1282" xr:uid="{00000000-0005-0000-0000-0000DE010000}"/>
    <cellStyle name="Comma 16 2 4 2 6" xfId="2864" xr:uid="{00000000-0005-0000-0000-0000DF010000}"/>
    <cellStyle name="Comma 16 2 4 3" xfId="554" xr:uid="{00000000-0005-0000-0000-0000E0010000}"/>
    <cellStyle name="Comma 16 2 4 3 2" xfId="961" xr:uid="{00000000-0005-0000-0000-0000E1010000}"/>
    <cellStyle name="Comma 16 2 4 3 2 2" xfId="2544" xr:uid="{00000000-0005-0000-0000-0000E2010000}"/>
    <cellStyle name="Comma 16 2 4 3 2 2 2" xfId="4126" xr:uid="{00000000-0005-0000-0000-0000E3010000}"/>
    <cellStyle name="Comma 16 2 4 3 2 3" xfId="1753" xr:uid="{00000000-0005-0000-0000-0000E4010000}"/>
    <cellStyle name="Comma 16 2 4 3 2 4" xfId="3335" xr:uid="{00000000-0005-0000-0000-0000E5010000}"/>
    <cellStyle name="Comma 16 2 4 3 3" xfId="2150" xr:uid="{00000000-0005-0000-0000-0000E6010000}"/>
    <cellStyle name="Comma 16 2 4 3 3 2" xfId="3732" xr:uid="{00000000-0005-0000-0000-0000E7010000}"/>
    <cellStyle name="Comma 16 2 4 3 4" xfId="1359" xr:uid="{00000000-0005-0000-0000-0000E8010000}"/>
    <cellStyle name="Comma 16 2 4 3 5" xfId="2941" xr:uid="{00000000-0005-0000-0000-0000E9010000}"/>
    <cellStyle name="Comma 16 2 4 4" xfId="629" xr:uid="{00000000-0005-0000-0000-0000EA010000}"/>
    <cellStyle name="Comma 16 2 4 4 2" xfId="1029" xr:uid="{00000000-0005-0000-0000-0000EB010000}"/>
    <cellStyle name="Comma 16 2 4 4 2 2" xfId="2612" xr:uid="{00000000-0005-0000-0000-0000EC010000}"/>
    <cellStyle name="Comma 16 2 4 4 2 2 2" xfId="4194" xr:uid="{00000000-0005-0000-0000-0000ED010000}"/>
    <cellStyle name="Comma 16 2 4 4 2 3" xfId="1821" xr:uid="{00000000-0005-0000-0000-0000EE010000}"/>
    <cellStyle name="Comma 16 2 4 4 2 4" xfId="3403" xr:uid="{00000000-0005-0000-0000-0000EF010000}"/>
    <cellStyle name="Comma 16 2 4 4 3" xfId="2218" xr:uid="{00000000-0005-0000-0000-0000F0010000}"/>
    <cellStyle name="Comma 16 2 4 4 3 2" xfId="3800" xr:uid="{00000000-0005-0000-0000-0000F1010000}"/>
    <cellStyle name="Comma 16 2 4 4 4" xfId="1427" xr:uid="{00000000-0005-0000-0000-0000F2010000}"/>
    <cellStyle name="Comma 16 2 4 4 5" xfId="3009" xr:uid="{00000000-0005-0000-0000-0000F3010000}"/>
    <cellStyle name="Comma 16 2 4 5" xfId="808" xr:uid="{00000000-0005-0000-0000-0000F4010000}"/>
    <cellStyle name="Comma 16 2 4 5 2" xfId="2391" xr:uid="{00000000-0005-0000-0000-0000F5010000}"/>
    <cellStyle name="Comma 16 2 4 5 2 2" xfId="3973" xr:uid="{00000000-0005-0000-0000-0000F6010000}"/>
    <cellStyle name="Comma 16 2 4 5 3" xfId="1600" xr:uid="{00000000-0005-0000-0000-0000F7010000}"/>
    <cellStyle name="Comma 16 2 4 5 4" xfId="3182" xr:uid="{00000000-0005-0000-0000-0000F8010000}"/>
    <cellStyle name="Comma 16 2 4 6" xfId="1997" xr:uid="{00000000-0005-0000-0000-0000F9010000}"/>
    <cellStyle name="Comma 16 2 4 6 2" xfId="3579" xr:uid="{00000000-0005-0000-0000-0000FA010000}"/>
    <cellStyle name="Comma 16 2 4 7" xfId="1206" xr:uid="{00000000-0005-0000-0000-0000FB010000}"/>
    <cellStyle name="Comma 16 2 4 8" xfId="2788" xr:uid="{00000000-0005-0000-0000-0000FC010000}"/>
    <cellStyle name="Comma 16 2 5" xfId="440" xr:uid="{00000000-0005-0000-0000-0000FD010000}"/>
    <cellStyle name="Comma 16 2 5 2" xfId="516" xr:uid="{00000000-0005-0000-0000-0000FE010000}"/>
    <cellStyle name="Comma 16 2 5 2 2" xfId="744" xr:uid="{00000000-0005-0000-0000-0000FF010000}"/>
    <cellStyle name="Comma 16 2 5 2 2 2" xfId="1144" xr:uid="{00000000-0005-0000-0000-000000020000}"/>
    <cellStyle name="Comma 16 2 5 2 2 2 2" xfId="2727" xr:uid="{00000000-0005-0000-0000-000001020000}"/>
    <cellStyle name="Comma 16 2 5 2 2 2 2 2" xfId="4309" xr:uid="{00000000-0005-0000-0000-000002020000}"/>
    <cellStyle name="Comma 16 2 5 2 2 2 3" xfId="1936" xr:uid="{00000000-0005-0000-0000-000003020000}"/>
    <cellStyle name="Comma 16 2 5 2 2 2 4" xfId="3518" xr:uid="{00000000-0005-0000-0000-000004020000}"/>
    <cellStyle name="Comma 16 2 5 2 2 3" xfId="2333" xr:uid="{00000000-0005-0000-0000-000005020000}"/>
    <cellStyle name="Comma 16 2 5 2 2 3 2" xfId="3915" xr:uid="{00000000-0005-0000-0000-000006020000}"/>
    <cellStyle name="Comma 16 2 5 2 2 4" xfId="1542" xr:uid="{00000000-0005-0000-0000-000007020000}"/>
    <cellStyle name="Comma 16 2 5 2 2 5" xfId="3124" xr:uid="{00000000-0005-0000-0000-000008020000}"/>
    <cellStyle name="Comma 16 2 5 2 3" xfId="923" xr:uid="{00000000-0005-0000-0000-000009020000}"/>
    <cellStyle name="Comma 16 2 5 2 3 2" xfId="2506" xr:uid="{00000000-0005-0000-0000-00000A020000}"/>
    <cellStyle name="Comma 16 2 5 2 3 2 2" xfId="4088" xr:uid="{00000000-0005-0000-0000-00000B020000}"/>
    <cellStyle name="Comma 16 2 5 2 3 3" xfId="1715" xr:uid="{00000000-0005-0000-0000-00000C020000}"/>
    <cellStyle name="Comma 16 2 5 2 3 4" xfId="3297" xr:uid="{00000000-0005-0000-0000-00000D020000}"/>
    <cellStyle name="Comma 16 2 5 2 4" xfId="2112" xr:uid="{00000000-0005-0000-0000-00000E020000}"/>
    <cellStyle name="Comma 16 2 5 2 4 2" xfId="3694" xr:uid="{00000000-0005-0000-0000-00000F020000}"/>
    <cellStyle name="Comma 16 2 5 2 5" xfId="1321" xr:uid="{00000000-0005-0000-0000-000010020000}"/>
    <cellStyle name="Comma 16 2 5 2 6" xfId="2903" xr:uid="{00000000-0005-0000-0000-000011020000}"/>
    <cellStyle name="Comma 16 2 5 3" xfId="668" xr:uid="{00000000-0005-0000-0000-000012020000}"/>
    <cellStyle name="Comma 16 2 5 3 2" xfId="1068" xr:uid="{00000000-0005-0000-0000-000013020000}"/>
    <cellStyle name="Comma 16 2 5 3 2 2" xfId="2651" xr:uid="{00000000-0005-0000-0000-000014020000}"/>
    <cellStyle name="Comma 16 2 5 3 2 2 2" xfId="4233" xr:uid="{00000000-0005-0000-0000-000015020000}"/>
    <cellStyle name="Comma 16 2 5 3 2 3" xfId="1860" xr:uid="{00000000-0005-0000-0000-000016020000}"/>
    <cellStyle name="Comma 16 2 5 3 2 4" xfId="3442" xr:uid="{00000000-0005-0000-0000-000017020000}"/>
    <cellStyle name="Comma 16 2 5 3 3" xfId="2257" xr:uid="{00000000-0005-0000-0000-000018020000}"/>
    <cellStyle name="Comma 16 2 5 3 3 2" xfId="3839" xr:uid="{00000000-0005-0000-0000-000019020000}"/>
    <cellStyle name="Comma 16 2 5 3 4" xfId="1466" xr:uid="{00000000-0005-0000-0000-00001A020000}"/>
    <cellStyle name="Comma 16 2 5 3 5" xfId="3048" xr:uid="{00000000-0005-0000-0000-00001B020000}"/>
    <cellStyle name="Comma 16 2 5 4" xfId="847" xr:uid="{00000000-0005-0000-0000-00001C020000}"/>
    <cellStyle name="Comma 16 2 5 4 2" xfId="2430" xr:uid="{00000000-0005-0000-0000-00001D020000}"/>
    <cellStyle name="Comma 16 2 5 4 2 2" xfId="4012" xr:uid="{00000000-0005-0000-0000-00001E020000}"/>
    <cellStyle name="Comma 16 2 5 4 3" xfId="1639" xr:uid="{00000000-0005-0000-0000-00001F020000}"/>
    <cellStyle name="Comma 16 2 5 4 4" xfId="3221" xr:uid="{00000000-0005-0000-0000-000020020000}"/>
    <cellStyle name="Comma 16 2 5 5" xfId="2036" xr:uid="{00000000-0005-0000-0000-000021020000}"/>
    <cellStyle name="Comma 16 2 5 5 2" xfId="3618" xr:uid="{00000000-0005-0000-0000-000022020000}"/>
    <cellStyle name="Comma 16 2 5 6" xfId="1245" xr:uid="{00000000-0005-0000-0000-000023020000}"/>
    <cellStyle name="Comma 16 2 5 7" xfId="2827" xr:uid="{00000000-0005-0000-0000-000024020000}"/>
    <cellStyle name="Comma 16 2 6" xfId="446" xr:uid="{00000000-0005-0000-0000-000025020000}"/>
    <cellStyle name="Comma 16 2 6 2" xfId="674" xr:uid="{00000000-0005-0000-0000-000026020000}"/>
    <cellStyle name="Comma 16 2 6 2 2" xfId="1074" xr:uid="{00000000-0005-0000-0000-000027020000}"/>
    <cellStyle name="Comma 16 2 6 2 2 2" xfId="2657" xr:uid="{00000000-0005-0000-0000-000028020000}"/>
    <cellStyle name="Comma 16 2 6 2 2 2 2" xfId="4239" xr:uid="{00000000-0005-0000-0000-000029020000}"/>
    <cellStyle name="Comma 16 2 6 2 2 3" xfId="1866" xr:uid="{00000000-0005-0000-0000-00002A020000}"/>
    <cellStyle name="Comma 16 2 6 2 2 4" xfId="3448" xr:uid="{00000000-0005-0000-0000-00002B020000}"/>
    <cellStyle name="Comma 16 2 6 2 3" xfId="2263" xr:uid="{00000000-0005-0000-0000-00002C020000}"/>
    <cellStyle name="Comma 16 2 6 2 3 2" xfId="3845" xr:uid="{00000000-0005-0000-0000-00002D020000}"/>
    <cellStyle name="Comma 16 2 6 2 4" xfId="1472" xr:uid="{00000000-0005-0000-0000-00002E020000}"/>
    <cellStyle name="Comma 16 2 6 2 5" xfId="3054" xr:uid="{00000000-0005-0000-0000-00002F020000}"/>
    <cellStyle name="Comma 16 2 6 3" xfId="853" xr:uid="{00000000-0005-0000-0000-000030020000}"/>
    <cellStyle name="Comma 16 2 6 3 2" xfId="2436" xr:uid="{00000000-0005-0000-0000-000031020000}"/>
    <cellStyle name="Comma 16 2 6 3 2 2" xfId="4018" xr:uid="{00000000-0005-0000-0000-000032020000}"/>
    <cellStyle name="Comma 16 2 6 3 3" xfId="1645" xr:uid="{00000000-0005-0000-0000-000033020000}"/>
    <cellStyle name="Comma 16 2 6 3 4" xfId="3227" xr:uid="{00000000-0005-0000-0000-000034020000}"/>
    <cellStyle name="Comma 16 2 6 4" xfId="2042" xr:uid="{00000000-0005-0000-0000-000035020000}"/>
    <cellStyle name="Comma 16 2 6 4 2" xfId="3624" xr:uid="{00000000-0005-0000-0000-000036020000}"/>
    <cellStyle name="Comma 16 2 6 5" xfId="1251" xr:uid="{00000000-0005-0000-0000-000037020000}"/>
    <cellStyle name="Comma 16 2 6 6" xfId="2833" xr:uid="{00000000-0005-0000-0000-000038020000}"/>
    <cellStyle name="Comma 16 2 7" xfId="522" xr:uid="{00000000-0005-0000-0000-000039020000}"/>
    <cellStyle name="Comma 16 2 7 2" xfId="929" xr:uid="{00000000-0005-0000-0000-00003A020000}"/>
    <cellStyle name="Comma 16 2 7 2 2" xfId="2512" xr:uid="{00000000-0005-0000-0000-00003B020000}"/>
    <cellStyle name="Comma 16 2 7 2 2 2" xfId="4094" xr:uid="{00000000-0005-0000-0000-00003C020000}"/>
    <cellStyle name="Comma 16 2 7 2 3" xfId="1721" xr:uid="{00000000-0005-0000-0000-00003D020000}"/>
    <cellStyle name="Comma 16 2 7 2 4" xfId="3303" xr:uid="{00000000-0005-0000-0000-00003E020000}"/>
    <cellStyle name="Comma 16 2 7 3" xfId="2118" xr:uid="{00000000-0005-0000-0000-00003F020000}"/>
    <cellStyle name="Comma 16 2 7 3 2" xfId="3700" xr:uid="{00000000-0005-0000-0000-000040020000}"/>
    <cellStyle name="Comma 16 2 7 4" xfId="1327" xr:uid="{00000000-0005-0000-0000-000041020000}"/>
    <cellStyle name="Comma 16 2 7 5" xfId="2909" xr:uid="{00000000-0005-0000-0000-000042020000}"/>
    <cellStyle name="Comma 16 2 8" xfId="598" xr:uid="{00000000-0005-0000-0000-000043020000}"/>
    <cellStyle name="Comma 16 2 8 2" xfId="998" xr:uid="{00000000-0005-0000-0000-000044020000}"/>
    <cellStyle name="Comma 16 2 8 2 2" xfId="2581" xr:uid="{00000000-0005-0000-0000-000045020000}"/>
    <cellStyle name="Comma 16 2 8 2 2 2" xfId="4163" xr:uid="{00000000-0005-0000-0000-000046020000}"/>
    <cellStyle name="Comma 16 2 8 2 3" xfId="1790" xr:uid="{00000000-0005-0000-0000-000047020000}"/>
    <cellStyle name="Comma 16 2 8 2 4" xfId="3372" xr:uid="{00000000-0005-0000-0000-000048020000}"/>
    <cellStyle name="Comma 16 2 8 3" xfId="2187" xr:uid="{00000000-0005-0000-0000-000049020000}"/>
    <cellStyle name="Comma 16 2 8 3 2" xfId="3769" xr:uid="{00000000-0005-0000-0000-00004A020000}"/>
    <cellStyle name="Comma 16 2 8 4" xfId="1396" xr:uid="{00000000-0005-0000-0000-00004B020000}"/>
    <cellStyle name="Comma 16 2 8 5" xfId="2978" xr:uid="{00000000-0005-0000-0000-00004C020000}"/>
    <cellStyle name="Comma 16 2 9" xfId="750" xr:uid="{00000000-0005-0000-0000-00004D020000}"/>
    <cellStyle name="Comma 16 2 9 2" xfId="1150" xr:uid="{00000000-0005-0000-0000-00004E020000}"/>
    <cellStyle name="Comma 16 2 9 2 2" xfId="2733" xr:uid="{00000000-0005-0000-0000-00004F020000}"/>
    <cellStyle name="Comma 16 2 9 2 2 2" xfId="4315" xr:uid="{00000000-0005-0000-0000-000050020000}"/>
    <cellStyle name="Comma 16 2 9 2 3" xfId="1942" xr:uid="{00000000-0005-0000-0000-000051020000}"/>
    <cellStyle name="Comma 16 2 9 2 4" xfId="3524" xr:uid="{00000000-0005-0000-0000-000052020000}"/>
    <cellStyle name="Comma 16 2 9 3" xfId="2339" xr:uid="{00000000-0005-0000-0000-000053020000}"/>
    <cellStyle name="Comma 16 2 9 3 2" xfId="3921" xr:uid="{00000000-0005-0000-0000-000054020000}"/>
    <cellStyle name="Comma 16 2 9 4" xfId="1548" xr:uid="{00000000-0005-0000-0000-000055020000}"/>
    <cellStyle name="Comma 16 2 9 5" xfId="3130" xr:uid="{00000000-0005-0000-0000-000056020000}"/>
    <cellStyle name="Comma 16 3" xfId="128" xr:uid="{00000000-0005-0000-0000-000057020000}"/>
    <cellStyle name="Comma 16 3 2" xfId="321" xr:uid="{00000000-0005-0000-0000-000058020000}"/>
    <cellStyle name="Comma 16 3 2 2" xfId="336" xr:uid="{00000000-0005-0000-0000-000059020000}"/>
    <cellStyle name="Comma 16 3 2 2 2" xfId="422" xr:uid="{00000000-0005-0000-0000-00005A020000}"/>
    <cellStyle name="Comma 16 3 2 2 2 2" xfId="4714" xr:uid="{306D71EE-1D19-4086-9764-2A4E6FD655FC}"/>
    <cellStyle name="Comma 16 3 2 2 2 2 2" xfId="5035" xr:uid="{B2008773-40CD-43A0-AD07-E52898E94216}"/>
    <cellStyle name="Comma 16 3 2 2 2 3" xfId="4808" xr:uid="{0B4FF4B7-ADA7-4474-A836-897FC4588A57}"/>
    <cellStyle name="Comma 16 3 2 2 2 3 2" xfId="5101" xr:uid="{D3FC74A8-5B2B-45D2-A2EE-328F0834F830}"/>
    <cellStyle name="Comma 16 3 2 2 2 4" xfId="4519" xr:uid="{88066FFB-6981-46A0-85B7-660913CF8FF1}"/>
    <cellStyle name="Comma 16 3 2 2 2 5" xfId="4915" xr:uid="{50DDCDFB-F14E-4541-8637-4291D8A9567D}"/>
    <cellStyle name="Comma 16 3 2 2 3" xfId="4713" xr:uid="{31FD32D2-ABAC-4EC3-85D3-6BC770204126}"/>
    <cellStyle name="Comma 16 3 2 2 3 2" xfId="5034" xr:uid="{24E0AFF7-E51A-4E07-A1ED-9D0935273B45}"/>
    <cellStyle name="Comma 16 3 2 2 4" xfId="4809" xr:uid="{B090ADF7-0DC1-489B-AE73-5B088B9A8A42}"/>
    <cellStyle name="Comma 16 3 2 2 4 2" xfId="5102" xr:uid="{48D9C035-C1CD-4C36-AF25-75051BC813A7}"/>
    <cellStyle name="Comma 16 3 2 2 5" xfId="4518" xr:uid="{7E3DEB99-4962-4F9B-B1B9-79174DCA138E}"/>
    <cellStyle name="Comma 16 3 2 2 6" xfId="4914" xr:uid="{A4E7825A-4A47-4238-993D-C2B3D3CD0A79}"/>
    <cellStyle name="Comma 16 3 2 3" xfId="407" xr:uid="{00000000-0005-0000-0000-00005B020000}"/>
    <cellStyle name="Comma 16 3 2 3 2" xfId="4715" xr:uid="{0525A32E-D943-4555-863D-2242984AE6FA}"/>
    <cellStyle name="Comma 16 3 2 3 2 2" xfId="5036" xr:uid="{35BD731A-F451-40D3-8DDB-1F37E94375DD}"/>
    <cellStyle name="Comma 16 3 2 3 3" xfId="4810" xr:uid="{09C3DE66-0495-4695-84C8-5752349C67DF}"/>
    <cellStyle name="Comma 16 3 2 3 3 2" xfId="5103" xr:uid="{2A2A9356-BA6C-4AE8-A534-D7BC69CA333B}"/>
    <cellStyle name="Comma 16 3 2 3 4" xfId="4520" xr:uid="{B19BE06F-455A-42FB-8100-1E5515996A3A}"/>
    <cellStyle name="Comma 16 3 2 3 5" xfId="4916" xr:uid="{C45814CA-989B-472E-8B23-5692F9CA6746}"/>
    <cellStyle name="Comma 16 3 2 4" xfId="4712" xr:uid="{AA143FA1-8E18-42A4-9138-79545504B1F6}"/>
    <cellStyle name="Comma 16 3 2 4 2" xfId="5033" xr:uid="{82C85C9D-AC1E-4A2F-B422-05ECD357CDCF}"/>
    <cellStyle name="Comma 16 3 2 5" xfId="4811" xr:uid="{854794BB-2AB5-4EDF-924F-0E0435D81F28}"/>
    <cellStyle name="Comma 16 3 2 5 2" xfId="5104" xr:uid="{04A0EDB2-02E7-495A-8060-05810EB46382}"/>
    <cellStyle name="Comma 16 3 2 6" xfId="4517" xr:uid="{CE4C0EA4-F23C-4931-BEE2-DDE8ECC4DA71}"/>
    <cellStyle name="Comma 16 3 2 7" xfId="4913" xr:uid="{C78502FF-17DD-405D-B926-772EADAE2D5A}"/>
    <cellStyle name="Comma 16 3 3" xfId="329" xr:uid="{00000000-0005-0000-0000-00005C020000}"/>
    <cellStyle name="Comma 16 3 3 2" xfId="415" xr:uid="{00000000-0005-0000-0000-00005D020000}"/>
    <cellStyle name="Comma 16 3 3 2 2" xfId="4717" xr:uid="{EAF4203E-BEEB-4FE9-919A-032D4252F638}"/>
    <cellStyle name="Comma 16 3 3 2 2 2" xfId="5038" xr:uid="{DED81985-6A5D-413F-AE25-133DB6B774E1}"/>
    <cellStyle name="Comma 16 3 3 2 3" xfId="4812" xr:uid="{8B511AFA-C69C-4EA4-BE87-5A8FFD9DE762}"/>
    <cellStyle name="Comma 16 3 3 2 3 2" xfId="5105" xr:uid="{98FC9909-949F-4F3A-BF83-48BEC594984B}"/>
    <cellStyle name="Comma 16 3 3 2 4" xfId="4522" xr:uid="{CCD18752-3AA7-4A13-881E-D9A52D6274F4}"/>
    <cellStyle name="Comma 16 3 3 2 5" xfId="4918" xr:uid="{7DD2CFD6-D192-4883-90F0-350D086958EE}"/>
    <cellStyle name="Comma 16 3 3 3" xfId="4716" xr:uid="{0D2546B4-F839-48CA-9AD3-A84989E5E381}"/>
    <cellStyle name="Comma 16 3 3 3 2" xfId="5037" xr:uid="{CEE3B1ED-0582-42BA-9D4D-01D3DCEA84E4}"/>
    <cellStyle name="Comma 16 3 3 4" xfId="4813" xr:uid="{444397E5-D109-4D68-85AA-587E6BB450A6}"/>
    <cellStyle name="Comma 16 3 3 4 2" xfId="5106" xr:uid="{25F27C2B-FB3E-4F91-BC82-BAF7CC3CE517}"/>
    <cellStyle name="Comma 16 3 3 5" xfId="4521" xr:uid="{998FF7F8-2805-41F7-A98B-9A4BF75D75A9}"/>
    <cellStyle name="Comma 16 3 3 6" xfId="4917" xr:uid="{8256EC9B-9FAA-4DB1-AA74-10E53D35B472}"/>
    <cellStyle name="Comma 16 3 4" xfId="400" xr:uid="{00000000-0005-0000-0000-00005E020000}"/>
    <cellStyle name="Comma 16 3 4 2" xfId="4718" xr:uid="{AC00E7CB-C739-4B37-85FA-FBB4DE506DB3}"/>
    <cellStyle name="Comma 16 3 4 2 2" xfId="5039" xr:uid="{81AAA397-B158-4D60-99CA-91A0FD3C9A02}"/>
    <cellStyle name="Comma 16 3 4 3" xfId="4814" xr:uid="{46D8D54D-0E47-4D9A-94F4-47B0204182F6}"/>
    <cellStyle name="Comma 16 3 4 3 2" xfId="5107" xr:uid="{0402864C-05DD-45B2-B555-4BE671090708}"/>
    <cellStyle name="Comma 16 3 4 4" xfId="4523" xr:uid="{8B425A7F-6840-4930-983C-C8547F0B68C7}"/>
    <cellStyle name="Comma 16 3 4 5" xfId="4919" xr:uid="{5E1B2C23-E751-4A13-BEAC-06963AD1B954}"/>
    <cellStyle name="Comma 16 3 5" xfId="4711" xr:uid="{57466359-FCB7-47EB-86FD-38DF60075D8A}"/>
    <cellStyle name="Comma 16 3 5 2" xfId="5032" xr:uid="{F88CB021-8BF3-488E-99C8-143B286DC028}"/>
    <cellStyle name="Comma 16 3 6" xfId="4815" xr:uid="{EA5A26EC-62F3-401C-87EC-012464B30565}"/>
    <cellStyle name="Comma 16 3 6 2" xfId="5108" xr:uid="{08073CA1-146B-4AD0-ACC6-B0E766B62A0A}"/>
    <cellStyle name="Comma 16 3 7" xfId="4516" xr:uid="{18C316B2-F0FA-4473-A200-CA4F36D51FD7}"/>
    <cellStyle name="Comma 16 3 8" xfId="4912" xr:uid="{0CD3B41D-93CD-4EB5-AFC5-C0A2F7261A4E}"/>
    <cellStyle name="Comma 16 4" xfId="320" xr:uid="{00000000-0005-0000-0000-00005F020000}"/>
    <cellStyle name="Comma 16 4 2" xfId="335" xr:uid="{00000000-0005-0000-0000-000060020000}"/>
    <cellStyle name="Comma 16 4 2 2" xfId="421" xr:uid="{00000000-0005-0000-0000-000061020000}"/>
    <cellStyle name="Comma 16 4 2 2 2" xfId="4721" xr:uid="{7EEDAF4B-CFD1-4E99-BB70-9A7F60A3590F}"/>
    <cellStyle name="Comma 16 4 2 2 2 2" xfId="5042" xr:uid="{A1DB58FC-74BD-4E34-B2F9-A20820D6953B}"/>
    <cellStyle name="Comma 16 4 2 2 3" xfId="4816" xr:uid="{04151E86-F250-480A-A710-03601C2DD503}"/>
    <cellStyle name="Comma 16 4 2 2 3 2" xfId="5109" xr:uid="{31A92A50-8477-4196-AA4E-599076CD1E0C}"/>
    <cellStyle name="Comma 16 4 2 2 4" xfId="4526" xr:uid="{F892260B-E1D8-4C08-BF9D-64B16F10DAB7}"/>
    <cellStyle name="Comma 16 4 2 2 5" xfId="4922" xr:uid="{470E0330-427E-4176-B621-9FD4313DDA11}"/>
    <cellStyle name="Comma 16 4 2 3" xfId="4720" xr:uid="{71D47AC7-EA38-4635-972C-D7C39D98358F}"/>
    <cellStyle name="Comma 16 4 2 3 2" xfId="5041" xr:uid="{DC09DFF6-A521-434C-85B1-AD1AB19D2CA4}"/>
    <cellStyle name="Comma 16 4 2 4" xfId="4817" xr:uid="{8320C689-0A7D-4B82-B18A-8E71B4B98780}"/>
    <cellStyle name="Comma 16 4 2 4 2" xfId="5110" xr:uid="{0E6ABDB1-86A0-4770-AA4F-974EB61AAF83}"/>
    <cellStyle name="Comma 16 4 2 5" xfId="4525" xr:uid="{FA1AF017-7814-4ABB-9FE7-F7C0D83CD8DC}"/>
    <cellStyle name="Comma 16 4 2 6" xfId="4921" xr:uid="{7953A589-F761-429E-BC74-9784DB266DE5}"/>
    <cellStyle name="Comma 16 4 3" xfId="406" xr:uid="{00000000-0005-0000-0000-000062020000}"/>
    <cellStyle name="Comma 16 4 3 2" xfId="4722" xr:uid="{9C3231C5-C602-482D-93ED-AD2CC23F54F9}"/>
    <cellStyle name="Comma 16 4 3 2 2" xfId="5043" xr:uid="{6973F5B0-9F87-40F4-B6BB-F1B6646C36F6}"/>
    <cellStyle name="Comma 16 4 3 3" xfId="4818" xr:uid="{70AD1FC3-FDD6-4E5F-A20F-06C6A5B751C1}"/>
    <cellStyle name="Comma 16 4 3 3 2" xfId="5111" xr:uid="{8A52702F-B2A6-42A7-AB19-089E812C1107}"/>
    <cellStyle name="Comma 16 4 3 4" xfId="4527" xr:uid="{F17DB203-281E-4671-8012-CE60F2C146E2}"/>
    <cellStyle name="Comma 16 4 3 5" xfId="4923" xr:uid="{020376DF-1C69-410A-A5B9-623534D8B966}"/>
    <cellStyle name="Comma 16 4 4" xfId="4719" xr:uid="{9784333B-C840-439B-9B9E-5D7B95BD86B6}"/>
    <cellStyle name="Comma 16 4 4 2" xfId="5040" xr:uid="{9E096B89-A31D-4A1A-BE82-9AA7988319DC}"/>
    <cellStyle name="Comma 16 4 5" xfId="4819" xr:uid="{B789ED4D-04C1-44D8-9501-8F0E60DEACCF}"/>
    <cellStyle name="Comma 16 4 5 2" xfId="5112" xr:uid="{EEFADD9D-1B79-40B0-987C-DE501B860FAE}"/>
    <cellStyle name="Comma 16 4 6" xfId="4524" xr:uid="{BBBEB7C9-BAFE-4E45-9D03-C80A552D187B}"/>
    <cellStyle name="Comma 16 4 7" xfId="4920" xr:uid="{B08AAB63-E437-42BD-BC07-AD28E4839947}"/>
    <cellStyle name="Comma 16 5" xfId="328" xr:uid="{00000000-0005-0000-0000-000063020000}"/>
    <cellStyle name="Comma 16 5 2" xfId="414" xr:uid="{00000000-0005-0000-0000-000064020000}"/>
    <cellStyle name="Comma 16 5 2 2" xfId="4724" xr:uid="{C2B42E9C-F040-46F3-8ADC-3A7BBFF320C1}"/>
    <cellStyle name="Comma 16 5 2 2 2" xfId="5045" xr:uid="{33B82B60-E7A7-4C4D-A09E-D8066B7CE235}"/>
    <cellStyle name="Comma 16 5 2 3" xfId="4820" xr:uid="{E88823B5-A1B2-471C-A655-A8F640B59818}"/>
    <cellStyle name="Comma 16 5 2 3 2" xfId="5113" xr:uid="{7E3D60CC-4FA3-444B-85A0-E5C5C60052AD}"/>
    <cellStyle name="Comma 16 5 2 4" xfId="4529" xr:uid="{CDB2F4A7-9293-4513-BA9F-19B26B912CDF}"/>
    <cellStyle name="Comma 16 5 2 5" xfId="4925" xr:uid="{9AD5E0CB-2449-4D17-9026-75FEA525940D}"/>
    <cellStyle name="Comma 16 5 3" xfId="4723" xr:uid="{0DD4016C-94D8-4229-AA96-3DD68FEC2494}"/>
    <cellStyle name="Comma 16 5 3 2" xfId="5044" xr:uid="{CE630C4A-89CB-4537-BBDE-232F7BFB010E}"/>
    <cellStyle name="Comma 16 5 4" xfId="4821" xr:uid="{1B401775-A727-4499-BFA2-318D0340268D}"/>
    <cellStyle name="Comma 16 5 4 2" xfId="5114" xr:uid="{091360D9-C71E-43F5-8B02-7419919EEC81}"/>
    <cellStyle name="Comma 16 5 5" xfId="4528" xr:uid="{52C73C70-5DF7-4587-81E6-8CD665A2D6A1}"/>
    <cellStyle name="Comma 16 5 6" xfId="4924" xr:uid="{B4BFAF82-4CB5-40A0-BF8B-66B8F6EB8CB4}"/>
    <cellStyle name="Comma 16 6" xfId="399" xr:uid="{00000000-0005-0000-0000-000065020000}"/>
    <cellStyle name="Comma 16 6 2" xfId="4725" xr:uid="{D9670CF7-648D-4694-B949-B5CD32A7A23A}"/>
    <cellStyle name="Comma 16 6 2 2" xfId="5046" xr:uid="{26397917-F43B-445A-8796-74C7E83CB471}"/>
    <cellStyle name="Comma 16 6 3" xfId="4822" xr:uid="{4AFFD7D4-21D1-42D2-9DDC-6CC1C83332A9}"/>
    <cellStyle name="Comma 16 6 3 2" xfId="5115" xr:uid="{4A5A3783-2F9C-4209-AD58-230B9BD20CE0}"/>
    <cellStyle name="Comma 16 6 4" xfId="4530" xr:uid="{F7B543AD-0960-4B88-89A8-E3125856B1A7}"/>
    <cellStyle name="Comma 16 6 5" xfId="4926" xr:uid="{7142C59E-F1B6-48B0-8E2C-6E94922B739D}"/>
    <cellStyle name="Comma 16 7" xfId="4710" xr:uid="{90C8788E-5A8A-4F72-A3FF-C3FA30F9B9CE}"/>
    <cellStyle name="Comma 16 7 2" xfId="5031" xr:uid="{D2DD0311-B90B-46E9-95E5-415DC4663C64}"/>
    <cellStyle name="Comma 16 8" xfId="4823" xr:uid="{50185B56-B59C-4748-B177-53C218908FC2}"/>
    <cellStyle name="Comma 16 8 2" xfId="5116" xr:uid="{C246DDBF-679E-40FB-B600-E63150311911}"/>
    <cellStyle name="Comma 16 9" xfId="4515" xr:uid="{B9CF232D-677E-4586-8E4D-FE7AC3FBFCCC}"/>
    <cellStyle name="Comma 17" xfId="129" xr:uid="{00000000-0005-0000-0000-000066020000}"/>
    <cellStyle name="Comma 17 2" xfId="130" xr:uid="{00000000-0005-0000-0000-000067020000}"/>
    <cellStyle name="Comma 17 2 2" xfId="296" xr:uid="{00000000-0005-0000-0000-000068020000}"/>
    <cellStyle name="Comma 17 2 2 2" xfId="315" xr:uid="{00000000-0005-0000-0000-000069020000}"/>
    <cellStyle name="Comma 17 2 2 2 2" xfId="393" xr:uid="{00000000-0005-0000-0000-00006A020000}"/>
    <cellStyle name="Comma 17 2 2 3" xfId="374" xr:uid="{00000000-0005-0000-0000-00006B020000}"/>
    <cellStyle name="Comma 17 2 3" xfId="306" xr:uid="{00000000-0005-0000-0000-00006C020000}"/>
    <cellStyle name="Comma 17 2 3 2" xfId="384" xr:uid="{00000000-0005-0000-0000-00006D020000}"/>
    <cellStyle name="Comma 17 2 4" xfId="359" xr:uid="{00000000-0005-0000-0000-00006E020000}"/>
    <cellStyle name="Comma 17 3" xfId="295" xr:uid="{00000000-0005-0000-0000-00006F020000}"/>
    <cellStyle name="Comma 17 3 2" xfId="314" xr:uid="{00000000-0005-0000-0000-000070020000}"/>
    <cellStyle name="Comma 17 3 2 2" xfId="392" xr:uid="{00000000-0005-0000-0000-000071020000}"/>
    <cellStyle name="Comma 17 3 3" xfId="373" xr:uid="{00000000-0005-0000-0000-000072020000}"/>
    <cellStyle name="Comma 17 4" xfId="305" xr:uid="{00000000-0005-0000-0000-000073020000}"/>
    <cellStyle name="Comma 17 4 2" xfId="383" xr:uid="{00000000-0005-0000-0000-000074020000}"/>
    <cellStyle name="Comma 17 5" xfId="358" xr:uid="{00000000-0005-0000-0000-000075020000}"/>
    <cellStyle name="Comma 18" xfId="131" xr:uid="{00000000-0005-0000-0000-000076020000}"/>
    <cellStyle name="Comma 18 2" xfId="132" xr:uid="{00000000-0005-0000-0000-000077020000}"/>
    <cellStyle name="Comma 18 2 2" xfId="322" xr:uid="{00000000-0005-0000-0000-000078020000}"/>
    <cellStyle name="Comma 18 2 2 2" xfId="337" xr:uid="{00000000-0005-0000-0000-000079020000}"/>
    <cellStyle name="Comma 18 2 2 2 2" xfId="423" xr:uid="{00000000-0005-0000-0000-00007A020000}"/>
    <cellStyle name="Comma 18 2 2 2 2 2" xfId="4729" xr:uid="{DCA9FC81-464F-4DFC-B33C-EB65DCA1DAE2}"/>
    <cellStyle name="Comma 18 2 2 2 2 2 2" xfId="5050" xr:uid="{E77B95F8-A9D3-495B-845C-0E249068B079}"/>
    <cellStyle name="Comma 18 2 2 2 2 3" xfId="4824" xr:uid="{737318EA-7BD7-44EE-9CF3-0E26D5344D2F}"/>
    <cellStyle name="Comma 18 2 2 2 2 3 2" xfId="5117" xr:uid="{266FC64F-B159-4199-90C1-BB80A1402EAF}"/>
    <cellStyle name="Comma 18 2 2 2 2 4" xfId="4534" xr:uid="{67ED7125-DB04-4E1E-BFC5-9FB8DAAB39AB}"/>
    <cellStyle name="Comma 18 2 2 2 2 5" xfId="4930" xr:uid="{0483246C-FE4A-4CD7-8FA9-417AA1BA1E75}"/>
    <cellStyle name="Comma 18 2 2 2 3" xfId="4728" xr:uid="{BDEA736A-D863-4A13-8350-D2F5A64816BB}"/>
    <cellStyle name="Comma 18 2 2 2 3 2" xfId="5049" xr:uid="{615B7727-941F-4BA7-A116-1167B0DDD010}"/>
    <cellStyle name="Comma 18 2 2 2 4" xfId="4825" xr:uid="{9E4991F7-146F-4750-B10F-DC09C9B74CB2}"/>
    <cellStyle name="Comma 18 2 2 2 4 2" xfId="5118" xr:uid="{992FF4B7-CFA5-4CC8-98CE-492BE355793E}"/>
    <cellStyle name="Comma 18 2 2 2 5" xfId="4533" xr:uid="{64B0F3A3-81C6-42A6-9D9E-D762273AEC42}"/>
    <cellStyle name="Comma 18 2 2 2 6" xfId="4929" xr:uid="{CAB8238D-E10C-40BF-AA22-171B01C75EDC}"/>
    <cellStyle name="Comma 18 2 2 3" xfId="408" xr:uid="{00000000-0005-0000-0000-00007B020000}"/>
    <cellStyle name="Comma 18 2 2 3 2" xfId="4730" xr:uid="{0D8A2C5E-A29E-46EC-A759-196A5496F59C}"/>
    <cellStyle name="Comma 18 2 2 3 2 2" xfId="5051" xr:uid="{9D3FA09B-C0F2-43B9-B924-026B5630D111}"/>
    <cellStyle name="Comma 18 2 2 3 3" xfId="4826" xr:uid="{EE3CF3A2-8CCD-46F2-8390-181E151CE14A}"/>
    <cellStyle name="Comma 18 2 2 3 3 2" xfId="5119" xr:uid="{FA6C0C71-962B-4543-87FF-E00CF637EC31}"/>
    <cellStyle name="Comma 18 2 2 3 4" xfId="4535" xr:uid="{C683A2D2-567E-4200-8A8B-89F28168BFA5}"/>
    <cellStyle name="Comma 18 2 2 3 5" xfId="4931" xr:uid="{F8AE0752-BA74-43E0-8A3F-DD38FEABBB1A}"/>
    <cellStyle name="Comma 18 2 2 4" xfId="4727" xr:uid="{957887F7-1116-4379-BD96-583F846B6B7F}"/>
    <cellStyle name="Comma 18 2 2 4 2" xfId="5048" xr:uid="{EC597109-CED9-45BC-B472-8CCF5A1B21C8}"/>
    <cellStyle name="Comma 18 2 2 5" xfId="4827" xr:uid="{0A8377B0-36ED-444C-B1DF-EBA34560446C}"/>
    <cellStyle name="Comma 18 2 2 5 2" xfId="5120" xr:uid="{478F1BE3-E941-4718-B5E2-0E7729A19035}"/>
    <cellStyle name="Comma 18 2 2 6" xfId="4532" xr:uid="{24BD5AB4-0DB9-4A47-8B01-F40E85F77751}"/>
    <cellStyle name="Comma 18 2 2 7" xfId="4928" xr:uid="{D8FD0ADE-38A5-4BF6-A259-D8172EE714B5}"/>
    <cellStyle name="Comma 18 2 3" xfId="330" xr:uid="{00000000-0005-0000-0000-00007C020000}"/>
    <cellStyle name="Comma 18 2 3 2" xfId="416" xr:uid="{00000000-0005-0000-0000-00007D020000}"/>
    <cellStyle name="Comma 18 2 3 2 2" xfId="4732" xr:uid="{1D5A2A1B-4C31-473D-AEDA-940EE47A7901}"/>
    <cellStyle name="Comma 18 2 3 2 2 2" xfId="5053" xr:uid="{C8FF47AF-A486-46F2-8739-18F646927866}"/>
    <cellStyle name="Comma 18 2 3 2 3" xfId="4828" xr:uid="{02BAC312-2A2F-409C-9507-CB7F2764C689}"/>
    <cellStyle name="Comma 18 2 3 2 3 2" xfId="5121" xr:uid="{FE5EB655-22D6-4873-AEA1-3677C9892A6B}"/>
    <cellStyle name="Comma 18 2 3 2 4" xfId="4537" xr:uid="{54EC8BEB-744D-422E-B954-9EBCD46D0A5D}"/>
    <cellStyle name="Comma 18 2 3 2 5" xfId="4933" xr:uid="{C9651E2C-F54E-4917-8FE5-F2400BC067E2}"/>
    <cellStyle name="Comma 18 2 3 3" xfId="4731" xr:uid="{5D4AAD3A-9FB9-4444-80B7-86B3B1302C28}"/>
    <cellStyle name="Comma 18 2 3 3 2" xfId="5052" xr:uid="{CEAB7F6E-31B4-46D3-912A-26730884033C}"/>
    <cellStyle name="Comma 18 2 3 4" xfId="4829" xr:uid="{605742DA-939C-43F1-B08C-52A1E381F8D2}"/>
    <cellStyle name="Comma 18 2 3 4 2" xfId="5122" xr:uid="{A130BDCD-6132-4763-AB2A-5BC09E06970B}"/>
    <cellStyle name="Comma 18 2 3 5" xfId="4536" xr:uid="{A4C8D812-9B78-471C-B60A-33A4CAACEE4A}"/>
    <cellStyle name="Comma 18 2 3 6" xfId="4932" xr:uid="{AA510495-1D70-49D6-92DC-0EA654A24D8A}"/>
    <cellStyle name="Comma 18 2 4" xfId="401" xr:uid="{00000000-0005-0000-0000-00007E020000}"/>
    <cellStyle name="Comma 18 2 4 2" xfId="4733" xr:uid="{2D5D07D0-AA01-4AA2-9E0B-E9618479E563}"/>
    <cellStyle name="Comma 18 2 4 2 2" xfId="5054" xr:uid="{E4AEBC58-4EDB-4CF0-816C-8F3D5EC82742}"/>
    <cellStyle name="Comma 18 2 4 3" xfId="4830" xr:uid="{143C7196-7508-4F43-A685-5B424E0279BE}"/>
    <cellStyle name="Comma 18 2 4 3 2" xfId="5123" xr:uid="{1DB6A648-BB26-4F9C-AA32-6F2A6A691D9F}"/>
    <cellStyle name="Comma 18 2 4 4" xfId="4538" xr:uid="{1A0CF27F-451D-4E8B-AF27-DE166024EE93}"/>
    <cellStyle name="Comma 18 2 4 5" xfId="4934" xr:uid="{D817FCD1-FF29-4F03-B0C1-9A282065E7AF}"/>
    <cellStyle name="Comma 18 2 5" xfId="4726" xr:uid="{AE414A65-5079-4E6C-863B-FE4DE8B3D332}"/>
    <cellStyle name="Comma 18 2 5 2" xfId="5047" xr:uid="{64C9BD58-3941-40DD-87E6-31BC1AA13862}"/>
    <cellStyle name="Comma 18 2 6" xfId="4831" xr:uid="{5A150161-36C9-48E3-87E0-65BF009BDC83}"/>
    <cellStyle name="Comma 18 2 6 2" xfId="5124" xr:uid="{C84DB8FE-38C2-424B-B7E7-CAD7FEC1E557}"/>
    <cellStyle name="Comma 18 2 7" xfId="4531" xr:uid="{F4038447-9A0C-45CE-9079-1E427C36DABE}"/>
    <cellStyle name="Comma 18 2 8" xfId="4927" xr:uid="{89346CC8-F4A2-426F-9915-FB9727F4E2B1}"/>
    <cellStyle name="Comma 18 3" xfId="297" xr:uid="{00000000-0005-0000-0000-00007F020000}"/>
    <cellStyle name="Comma 18 3 2" xfId="316" xr:uid="{00000000-0005-0000-0000-000080020000}"/>
    <cellStyle name="Comma 18 3 2 2" xfId="394" xr:uid="{00000000-0005-0000-0000-000081020000}"/>
    <cellStyle name="Comma 18 3 3" xfId="375" xr:uid="{00000000-0005-0000-0000-000082020000}"/>
    <cellStyle name="Comma 18 4" xfId="307" xr:uid="{00000000-0005-0000-0000-000083020000}"/>
    <cellStyle name="Comma 18 4 2" xfId="385" xr:uid="{00000000-0005-0000-0000-000084020000}"/>
    <cellStyle name="Comma 18 5" xfId="360" xr:uid="{00000000-0005-0000-0000-000085020000}"/>
    <cellStyle name="Comma 19" xfId="133" xr:uid="{00000000-0005-0000-0000-000086020000}"/>
    <cellStyle name="Comma 19 2" xfId="134" xr:uid="{00000000-0005-0000-0000-000087020000}"/>
    <cellStyle name="Comma 2" xfId="135" xr:uid="{00000000-0005-0000-0000-000088020000}"/>
    <cellStyle name="Comma 2 2" xfId="136" xr:uid="{00000000-0005-0000-0000-000089020000}"/>
    <cellStyle name="Comma 2 3" xfId="137" xr:uid="{00000000-0005-0000-0000-00008A020000}"/>
    <cellStyle name="Comma 2 3 2" xfId="323" xr:uid="{00000000-0005-0000-0000-00008B020000}"/>
    <cellStyle name="Comma 2 3 2 2" xfId="338" xr:uid="{00000000-0005-0000-0000-00008C020000}"/>
    <cellStyle name="Comma 2 3 2 2 2" xfId="424" xr:uid="{00000000-0005-0000-0000-00008D020000}"/>
    <cellStyle name="Comma 2 3 2 2 2 2" xfId="4737" xr:uid="{7E2A0BB0-9422-42BB-9805-1049EE45A841}"/>
    <cellStyle name="Comma 2 3 2 2 2 2 2" xfId="5058" xr:uid="{5CD15A1C-0266-4EFA-A81D-03A046965298}"/>
    <cellStyle name="Comma 2 3 2 2 2 3" xfId="4832" xr:uid="{723C96DB-3EAF-436D-BE34-82743D7D346D}"/>
    <cellStyle name="Comma 2 3 2 2 2 3 2" xfId="5125" xr:uid="{980D5832-8F01-4D20-B9F2-3DB275B96FF0}"/>
    <cellStyle name="Comma 2 3 2 2 2 4" xfId="4542" xr:uid="{3D1DD160-8A66-4FA2-850A-79B32818F998}"/>
    <cellStyle name="Comma 2 3 2 2 2 5" xfId="4938" xr:uid="{28D76FEA-E339-4E2C-AF41-1D5495FE3B34}"/>
    <cellStyle name="Comma 2 3 2 2 3" xfId="4736" xr:uid="{D8438363-0315-42FB-9160-7D96BDE0D80F}"/>
    <cellStyle name="Comma 2 3 2 2 3 2" xfId="5057" xr:uid="{38516933-483B-4B6C-A1C2-E714927E5C2E}"/>
    <cellStyle name="Comma 2 3 2 2 4" xfId="4833" xr:uid="{32D8BDD4-88FE-4729-B5FC-66F4F6247352}"/>
    <cellStyle name="Comma 2 3 2 2 4 2" xfId="5126" xr:uid="{BD4BAB61-36CF-4271-8F25-FF0746FECA52}"/>
    <cellStyle name="Comma 2 3 2 2 5" xfId="4541" xr:uid="{E72E837E-1C0B-4B67-A59E-2DF76C207480}"/>
    <cellStyle name="Comma 2 3 2 2 6" xfId="4937" xr:uid="{87B2E849-5332-42ED-81FE-F19520E3D8CC}"/>
    <cellStyle name="Comma 2 3 2 3" xfId="409" xr:uid="{00000000-0005-0000-0000-00008E020000}"/>
    <cellStyle name="Comma 2 3 2 3 2" xfId="4738" xr:uid="{E9A24DEA-9897-4F47-8D54-EEEB8163EAFE}"/>
    <cellStyle name="Comma 2 3 2 3 2 2" xfId="5059" xr:uid="{C7DD24D7-9312-4B83-916F-61EE77B65454}"/>
    <cellStyle name="Comma 2 3 2 3 3" xfId="4834" xr:uid="{6CBC4DD6-C9D8-43F2-B5F1-EE78B8E2765F}"/>
    <cellStyle name="Comma 2 3 2 3 3 2" xfId="5127" xr:uid="{0D04E1A4-95B6-4D24-8186-5251C2717ED0}"/>
    <cellStyle name="Comma 2 3 2 3 4" xfId="4543" xr:uid="{3CA3C3F8-D504-4F51-992A-76E8FC5D2806}"/>
    <cellStyle name="Comma 2 3 2 3 5" xfId="4939" xr:uid="{504D135F-87AE-4D86-89DA-171AD250A22A}"/>
    <cellStyle name="Comma 2 3 2 4" xfId="4735" xr:uid="{2B44B041-6AA5-46F8-A12F-B0882C0EB2D2}"/>
    <cellStyle name="Comma 2 3 2 4 2" xfId="5056" xr:uid="{B83228FD-708B-4DF0-BA31-80624EE1B7DE}"/>
    <cellStyle name="Comma 2 3 2 5" xfId="4835" xr:uid="{A38B49D8-DFA3-4819-8E0E-04BE1C70A2DF}"/>
    <cellStyle name="Comma 2 3 2 5 2" xfId="5128" xr:uid="{430803DF-5DAA-49AC-A101-9012EF1771AA}"/>
    <cellStyle name="Comma 2 3 2 6" xfId="4540" xr:uid="{54C3E7C4-4AC7-4969-87D7-2A64BC7F8A1A}"/>
    <cellStyle name="Comma 2 3 2 7" xfId="4936" xr:uid="{CA7FE07D-EC85-406C-8B8A-09433BA1BBCC}"/>
    <cellStyle name="Comma 2 3 3" xfId="331" xr:uid="{00000000-0005-0000-0000-00008F020000}"/>
    <cellStyle name="Comma 2 3 3 2" xfId="417" xr:uid="{00000000-0005-0000-0000-000090020000}"/>
    <cellStyle name="Comma 2 3 3 2 2" xfId="4740" xr:uid="{37B76E5D-785D-4884-BFDF-7F696EDA83D3}"/>
    <cellStyle name="Comma 2 3 3 2 2 2" xfId="5061" xr:uid="{99A04608-37C7-47F7-B305-DC224FAE4CE0}"/>
    <cellStyle name="Comma 2 3 3 2 3" xfId="4836" xr:uid="{3F5B5D55-7C99-475A-A849-C3D81BFD37B9}"/>
    <cellStyle name="Comma 2 3 3 2 3 2" xfId="5129" xr:uid="{4BAA348A-A166-400D-92C8-E90D88398A22}"/>
    <cellStyle name="Comma 2 3 3 2 4" xfId="4545" xr:uid="{4793A622-B8E0-4752-B52C-93D0E18E3E56}"/>
    <cellStyle name="Comma 2 3 3 2 5" xfId="4941" xr:uid="{35C7AA0D-756E-4FBA-AE56-E1615BA680E1}"/>
    <cellStyle name="Comma 2 3 3 3" xfId="4739" xr:uid="{00A7A39D-3B2E-4E31-A5AB-6D158E3E4DA5}"/>
    <cellStyle name="Comma 2 3 3 3 2" xfId="5060" xr:uid="{23B50F2B-33C9-4E2F-8A06-D8A14CCF2BFD}"/>
    <cellStyle name="Comma 2 3 3 4" xfId="4837" xr:uid="{6B2DBEA9-9F8D-4403-9D44-579E46BF5E7D}"/>
    <cellStyle name="Comma 2 3 3 4 2" xfId="5130" xr:uid="{B45477C9-5EC8-41C9-B273-B52DCD7B5190}"/>
    <cellStyle name="Comma 2 3 3 5" xfId="4544" xr:uid="{0F785A56-1FCF-42FD-9C24-5DBBA391BE22}"/>
    <cellStyle name="Comma 2 3 3 6" xfId="4940" xr:uid="{9331CB58-DCB5-4BDD-9487-8D2764F30936}"/>
    <cellStyle name="Comma 2 3 4" xfId="402" xr:uid="{00000000-0005-0000-0000-000091020000}"/>
    <cellStyle name="Comma 2 3 4 2" xfId="4741" xr:uid="{3C583971-A342-4C55-9425-FD6AC237408A}"/>
    <cellStyle name="Comma 2 3 4 2 2" xfId="5062" xr:uid="{D26925ED-EFA6-4F6D-9C31-87DC75C38635}"/>
    <cellStyle name="Comma 2 3 4 3" xfId="4838" xr:uid="{3CA8409A-FCD1-4524-9186-EA0AC5D8C9E0}"/>
    <cellStyle name="Comma 2 3 4 3 2" xfId="5131" xr:uid="{50BC89DA-67B4-406D-A07C-D137C694A947}"/>
    <cellStyle name="Comma 2 3 4 4" xfId="4546" xr:uid="{9199A367-BAA3-407E-9A64-6B09C67539A0}"/>
    <cellStyle name="Comma 2 3 4 5" xfId="4942" xr:uid="{A845D92F-ABC2-4CC3-9347-46A607DFBD2D}"/>
    <cellStyle name="Comma 2 3 5" xfId="4734" xr:uid="{0A725E11-2752-4281-A118-CED9113D0030}"/>
    <cellStyle name="Comma 2 3 5 2" xfId="5055" xr:uid="{7C5976E3-B31F-4341-92B7-080855E0B455}"/>
    <cellStyle name="Comma 2 3 6" xfId="4839" xr:uid="{E4EC2ECD-6E12-48D0-A297-0C2C764806A7}"/>
    <cellStyle name="Comma 2 3 6 2" xfId="5132" xr:uid="{F066EC4F-5F67-4DB6-8D62-8EE3A088139C}"/>
    <cellStyle name="Comma 2 3 7" xfId="4539" xr:uid="{B78C629A-9FBD-41A5-9EE2-48FE9B5B38E2}"/>
    <cellStyle name="Comma 2 3 8" xfId="4935" xr:uid="{68E63EFB-0DD5-4D5E-A4FC-4D40E1D8FE0E}"/>
    <cellStyle name="Comma 2 4" xfId="291" xr:uid="{00000000-0005-0000-0000-000092020000}"/>
    <cellStyle name="Comma 2 4 2" xfId="327" xr:uid="{00000000-0005-0000-0000-000093020000}"/>
    <cellStyle name="Comma 2 4 2 2" xfId="342" xr:uid="{00000000-0005-0000-0000-000094020000}"/>
    <cellStyle name="Comma 2 4 2 2 2" xfId="428" xr:uid="{00000000-0005-0000-0000-000095020000}"/>
    <cellStyle name="Comma 2 4 2 2 2 2" xfId="4745" xr:uid="{40E51F89-4A30-46D5-952B-1CFDE41B2CE6}"/>
    <cellStyle name="Comma 2 4 2 2 2 2 2" xfId="5066" xr:uid="{534C0DEF-6191-4B2F-829F-09D04F7C1E32}"/>
    <cellStyle name="Comma 2 4 2 2 2 3" xfId="4840" xr:uid="{C409C9C5-A842-4530-82B6-FB1DD4F8EEF5}"/>
    <cellStyle name="Comma 2 4 2 2 2 3 2" xfId="5133" xr:uid="{DD980939-D39F-4B08-871E-594A3CFC03FC}"/>
    <cellStyle name="Comma 2 4 2 2 2 4" xfId="4550" xr:uid="{F72065DF-3FF2-48CE-9D00-AE2BE6D7C6A1}"/>
    <cellStyle name="Comma 2 4 2 2 2 5" xfId="4946" xr:uid="{D513EFE8-5936-4341-9471-F6E114ED3F2A}"/>
    <cellStyle name="Comma 2 4 2 2 3" xfId="4744" xr:uid="{31FBB285-2F77-49F8-B43A-79740BDACEB2}"/>
    <cellStyle name="Comma 2 4 2 2 3 2" xfId="5065" xr:uid="{26F677EC-7D9B-44C7-9963-E4C594FFE6C6}"/>
    <cellStyle name="Comma 2 4 2 2 4" xfId="4841" xr:uid="{F030B724-D6A5-40A7-8DB6-757EB80E3260}"/>
    <cellStyle name="Comma 2 4 2 2 4 2" xfId="5134" xr:uid="{FCF37F56-37F6-463A-8BC6-87A9AE4ACFEC}"/>
    <cellStyle name="Comma 2 4 2 2 5" xfId="4549" xr:uid="{791BE356-8ED6-48EB-8F15-A6931AF292B1}"/>
    <cellStyle name="Comma 2 4 2 2 6" xfId="4945" xr:uid="{04AC7D01-397E-4629-B036-3A16FD568AD8}"/>
    <cellStyle name="Comma 2 4 2 3" xfId="413" xr:uid="{00000000-0005-0000-0000-000096020000}"/>
    <cellStyle name="Comma 2 4 2 3 2" xfId="4746" xr:uid="{74021F95-D1C1-4E88-8639-01E86808D37E}"/>
    <cellStyle name="Comma 2 4 2 3 2 2" xfId="5067" xr:uid="{56C9E753-A56A-4C74-BF6E-2C66FBA16472}"/>
    <cellStyle name="Comma 2 4 2 3 3" xfId="4842" xr:uid="{2AF0B72F-FBBF-4292-8184-94ADF54B73FD}"/>
    <cellStyle name="Comma 2 4 2 3 3 2" xfId="5135" xr:uid="{47A4E51E-00DE-423F-8496-009F85B63D7C}"/>
    <cellStyle name="Comma 2 4 2 3 4" xfId="4551" xr:uid="{9B0D62C1-FFA9-4881-8E6F-788297155113}"/>
    <cellStyle name="Comma 2 4 2 3 5" xfId="4947" xr:uid="{E8069FE2-A027-4E2E-AD25-FF01BFB96BCC}"/>
    <cellStyle name="Comma 2 4 2 4" xfId="4743" xr:uid="{9AB02BB2-5554-4210-9A10-F0DEC52D7EF4}"/>
    <cellStyle name="Comma 2 4 2 4 2" xfId="5064" xr:uid="{D9816C6B-C3D1-4D26-A086-810C9C221831}"/>
    <cellStyle name="Comma 2 4 2 5" xfId="4843" xr:uid="{B741E40B-55B4-4A18-B542-1CC09C4BBE57}"/>
    <cellStyle name="Comma 2 4 2 5 2" xfId="5136" xr:uid="{E4EDBB3D-6C09-46E2-BC0A-BF4BD9EEA8BD}"/>
    <cellStyle name="Comma 2 4 2 6" xfId="4548" xr:uid="{2215812B-BB43-4700-BA80-F9ED408F95EF}"/>
    <cellStyle name="Comma 2 4 2 7" xfId="4944" xr:uid="{36867516-06A7-4196-AB9B-22EDD87CB2BC}"/>
    <cellStyle name="Comma 2 4 3" xfId="334" xr:uid="{00000000-0005-0000-0000-000097020000}"/>
    <cellStyle name="Comma 2 4 3 2" xfId="420" xr:uid="{00000000-0005-0000-0000-000098020000}"/>
    <cellStyle name="Comma 2 4 3 2 2" xfId="4748" xr:uid="{FF441C10-795C-4DD9-856A-4D41871A5DBA}"/>
    <cellStyle name="Comma 2 4 3 2 2 2" xfId="5069" xr:uid="{67503100-50BE-4092-8EE5-D3259CA36EAC}"/>
    <cellStyle name="Comma 2 4 3 2 3" xfId="4844" xr:uid="{AE5CBF2D-28C5-40E5-B51F-07F7303F0CF7}"/>
    <cellStyle name="Comma 2 4 3 2 3 2" xfId="5137" xr:uid="{56565094-5944-45CA-A242-2CF9CFCAB699}"/>
    <cellStyle name="Comma 2 4 3 2 4" xfId="4553" xr:uid="{41EFE918-1A88-4D12-9688-B8334F1F33A7}"/>
    <cellStyle name="Comma 2 4 3 2 5" xfId="4949" xr:uid="{F1F1F985-39B6-433E-86C9-8EEB0C0D5377}"/>
    <cellStyle name="Comma 2 4 3 3" xfId="4747" xr:uid="{AFBC98D0-3BDB-4F69-A519-65D352E58ABF}"/>
    <cellStyle name="Comma 2 4 3 3 2" xfId="5068" xr:uid="{05C6BD0F-BB8F-4E0C-8E35-C9F048AAE4D2}"/>
    <cellStyle name="Comma 2 4 3 4" xfId="4845" xr:uid="{F6848674-454A-40E1-B4F1-464C647FB8F6}"/>
    <cellStyle name="Comma 2 4 3 4 2" xfId="5138" xr:uid="{A8FE030B-451B-4F4A-94C0-3F03AE8E9AAD}"/>
    <cellStyle name="Comma 2 4 3 5" xfId="4552" xr:uid="{622B9BD2-0FD6-493A-8CCD-C137FCE7AA1C}"/>
    <cellStyle name="Comma 2 4 3 6" xfId="4948" xr:uid="{FA2F54C7-0CF2-4645-BE06-0D0AC81AC5D0}"/>
    <cellStyle name="Comma 2 4 4" xfId="405" xr:uid="{00000000-0005-0000-0000-000099020000}"/>
    <cellStyle name="Comma 2 4 4 2" xfId="4749" xr:uid="{E50F879A-64DC-4537-B684-99A0A5C60D14}"/>
    <cellStyle name="Comma 2 4 4 2 2" xfId="5070" xr:uid="{86F718F9-644D-4C2B-BD02-2A80A4E3E9D3}"/>
    <cellStyle name="Comma 2 4 4 3" xfId="4846" xr:uid="{18DB0C55-8BD6-480A-A9C5-6564054DB644}"/>
    <cellStyle name="Comma 2 4 4 3 2" xfId="5139" xr:uid="{C22D63A3-CCD2-411E-A223-EE2E7FA64E65}"/>
    <cellStyle name="Comma 2 4 4 4" xfId="4554" xr:uid="{C64693F9-0DE3-4186-89DB-CC6D7E460801}"/>
    <cellStyle name="Comma 2 4 4 5" xfId="4950" xr:uid="{B6F657F9-D488-4D32-AD12-CF42EE9D1142}"/>
    <cellStyle name="Comma 2 4 5" xfId="4742" xr:uid="{30B74C72-F703-4FAF-B2B0-A24516EF83A3}"/>
    <cellStyle name="Comma 2 4 5 2" xfId="5063" xr:uid="{EA831C35-7985-444E-B34F-BE559F7FACE9}"/>
    <cellStyle name="Comma 2 4 6" xfId="4847" xr:uid="{28B2B8E0-48AF-43A1-95B2-A49F53A38179}"/>
    <cellStyle name="Comma 2 4 6 2" xfId="5140" xr:uid="{F0DCC3E1-84A3-4B6A-93A8-9CA77379E5E8}"/>
    <cellStyle name="Comma 2 4 7" xfId="4547" xr:uid="{4E37BF6A-8BE3-4206-A788-DE2FCA8EA9F7}"/>
    <cellStyle name="Comma 2 4 8" xfId="4943" xr:uid="{D8849AC2-B7F1-44CE-B95D-3525984A6797}"/>
    <cellStyle name="Comma 2_IFRS MARZ-JUN-DIC DTT ( definitivo)" xfId="138" xr:uid="{00000000-0005-0000-0000-00009A020000}"/>
    <cellStyle name="Comma 20" xfId="139" xr:uid="{00000000-0005-0000-0000-00009B020000}"/>
    <cellStyle name="Comma 21" xfId="140" xr:uid="{00000000-0005-0000-0000-00009C020000}"/>
    <cellStyle name="Comma 22" xfId="141" xr:uid="{00000000-0005-0000-0000-00009D020000}"/>
    <cellStyle name="Comma 22 2" xfId="324" xr:uid="{00000000-0005-0000-0000-00009E020000}"/>
    <cellStyle name="Comma 22 2 2" xfId="339" xr:uid="{00000000-0005-0000-0000-00009F020000}"/>
    <cellStyle name="Comma 22 2 2 2" xfId="425" xr:uid="{00000000-0005-0000-0000-0000A0020000}"/>
    <cellStyle name="Comma 22 2 2 2 2" xfId="4753" xr:uid="{53085904-3163-4A44-8F94-4F1EADCE6D9E}"/>
    <cellStyle name="Comma 22 2 2 2 2 2" xfId="5074" xr:uid="{B0C931DE-A273-470C-BE58-9A3CEDC93566}"/>
    <cellStyle name="Comma 22 2 2 2 3" xfId="4848" xr:uid="{60D443DE-4E62-441E-9597-912E43CBF8C8}"/>
    <cellStyle name="Comma 22 2 2 2 3 2" xfId="5141" xr:uid="{BC8928E4-07C1-4550-A9B2-EFFA9712F5CE}"/>
    <cellStyle name="Comma 22 2 2 2 4" xfId="4558" xr:uid="{3D4C68D8-7D14-4AD9-8E4A-01E3CBD33D8C}"/>
    <cellStyle name="Comma 22 2 2 2 5" xfId="4954" xr:uid="{4EC22846-68B8-48CB-93FD-A4F12B374612}"/>
    <cellStyle name="Comma 22 2 2 3" xfId="4752" xr:uid="{92D39273-99CE-4089-9223-076B693EDDC2}"/>
    <cellStyle name="Comma 22 2 2 3 2" xfId="5073" xr:uid="{5D5EB5DC-9F1B-4641-A65C-47594439A8B2}"/>
    <cellStyle name="Comma 22 2 2 4" xfId="4849" xr:uid="{7DC325BF-2A4A-41D4-89F4-6FAAB58B5E5E}"/>
    <cellStyle name="Comma 22 2 2 4 2" xfId="5142" xr:uid="{E04165CF-123F-473B-AAF9-5FA85B812E66}"/>
    <cellStyle name="Comma 22 2 2 5" xfId="4557" xr:uid="{F172BCCE-C3AD-4F56-A9DC-2626D5E71F5A}"/>
    <cellStyle name="Comma 22 2 2 6" xfId="4953" xr:uid="{AB42174B-EB9A-4C5A-B255-FC7D781D2EC3}"/>
    <cellStyle name="Comma 22 2 3" xfId="410" xr:uid="{00000000-0005-0000-0000-0000A1020000}"/>
    <cellStyle name="Comma 22 2 3 2" xfId="4754" xr:uid="{294FAB82-3406-4CDD-99F1-06863C673F37}"/>
    <cellStyle name="Comma 22 2 3 2 2" xfId="5075" xr:uid="{4FF85918-FAF4-455F-A49E-FD41011C8582}"/>
    <cellStyle name="Comma 22 2 3 3" xfId="4850" xr:uid="{EB59E7E0-4E03-4A0C-B1F9-0AA3E106FA32}"/>
    <cellStyle name="Comma 22 2 3 3 2" xfId="5143" xr:uid="{FB2AC662-857D-4404-9D69-64FF17300056}"/>
    <cellStyle name="Comma 22 2 3 4" xfId="4559" xr:uid="{4C0B0809-F5AA-4759-9337-70180911B2A0}"/>
    <cellStyle name="Comma 22 2 3 5" xfId="4955" xr:uid="{F3D89451-2597-41EF-9FFA-C95CFE195C9C}"/>
    <cellStyle name="Comma 22 2 4" xfId="4751" xr:uid="{6EC329CF-5247-437A-8207-7B1686B7C8EC}"/>
    <cellStyle name="Comma 22 2 4 2" xfId="5072" xr:uid="{84A60B99-A1F9-4B6B-930B-0971957300C5}"/>
    <cellStyle name="Comma 22 2 5" xfId="4851" xr:uid="{5E04F103-BACE-407D-9017-187DDA972920}"/>
    <cellStyle name="Comma 22 2 5 2" xfId="5144" xr:uid="{E55C41BE-00A5-4C43-B0FD-165A4C33325B}"/>
    <cellStyle name="Comma 22 2 6" xfId="4556" xr:uid="{79E6AD19-DBC1-40CE-A8D5-866B7F0636BD}"/>
    <cellStyle name="Comma 22 2 7" xfId="4952" xr:uid="{5AC91544-DC5B-4A8B-A04E-12D8331A5BE9}"/>
    <cellStyle name="Comma 22 3" xfId="332" xr:uid="{00000000-0005-0000-0000-0000A2020000}"/>
    <cellStyle name="Comma 22 3 2" xfId="418" xr:uid="{00000000-0005-0000-0000-0000A3020000}"/>
    <cellStyle name="Comma 22 3 2 2" xfId="4756" xr:uid="{1FE9FEAE-3C26-4D81-9687-A35BDC328EB4}"/>
    <cellStyle name="Comma 22 3 2 2 2" xfId="5077" xr:uid="{6A2CA335-BEDA-4621-BC75-7EA4B87EEB84}"/>
    <cellStyle name="Comma 22 3 2 3" xfId="4852" xr:uid="{4BE4BB90-2B2E-4FE9-A070-862A405ECE7C}"/>
    <cellStyle name="Comma 22 3 2 3 2" xfId="5145" xr:uid="{E29EDDDD-A7F8-438F-AB5E-F3E6DA0D12AA}"/>
    <cellStyle name="Comma 22 3 2 4" xfId="4561" xr:uid="{0E60F93D-9AB1-4878-8ED0-2F9235CF9277}"/>
    <cellStyle name="Comma 22 3 2 5" xfId="4957" xr:uid="{519B4203-7F7B-48AB-934B-FA5E3C85CB5F}"/>
    <cellStyle name="Comma 22 3 3" xfId="4755" xr:uid="{631BBC13-1389-4709-BD8F-77ED2101694A}"/>
    <cellStyle name="Comma 22 3 3 2" xfId="5076" xr:uid="{B51C39B7-6B20-4F9D-A7B1-83A00A9F3561}"/>
    <cellStyle name="Comma 22 3 4" xfId="4853" xr:uid="{333989A4-29BB-4E2B-8C42-5737CE2FC45E}"/>
    <cellStyle name="Comma 22 3 4 2" xfId="5146" xr:uid="{F3FB0807-91DB-4837-A23D-B6890B2EFE5A}"/>
    <cellStyle name="Comma 22 3 5" xfId="4560" xr:uid="{43C3262F-852C-4742-9871-93C3DFA482B8}"/>
    <cellStyle name="Comma 22 3 6" xfId="4956" xr:uid="{8BDB0F4B-8B40-4173-ACA1-6F125E48BFAD}"/>
    <cellStyle name="Comma 22 4" xfId="403" xr:uid="{00000000-0005-0000-0000-0000A4020000}"/>
    <cellStyle name="Comma 22 4 2" xfId="4757" xr:uid="{F5BEEE48-D9DA-46F5-B7FD-5B4820DB849F}"/>
    <cellStyle name="Comma 22 4 2 2" xfId="5078" xr:uid="{A35383B8-8D38-4E44-A90E-B1261D2C6365}"/>
    <cellStyle name="Comma 22 4 3" xfId="4854" xr:uid="{690C5D3E-988B-426C-A94A-5B9B9346E5F3}"/>
    <cellStyle name="Comma 22 4 3 2" xfId="5147" xr:uid="{2F4FD244-139D-4B6B-B7AE-B5B3EA5665DD}"/>
    <cellStyle name="Comma 22 4 4" xfId="4562" xr:uid="{9AD998F9-EDB0-4881-86C6-7F8AE5C49F02}"/>
    <cellStyle name="Comma 22 4 5" xfId="4958" xr:uid="{B36D79BB-580D-42B5-86A4-B026E1131E5D}"/>
    <cellStyle name="Comma 22 5" xfId="4750" xr:uid="{F0D3D6B4-3548-4919-AD7D-52CCE29168B3}"/>
    <cellStyle name="Comma 22 5 2" xfId="5071" xr:uid="{2BEB947E-23E5-414A-87C3-A67B07BB9459}"/>
    <cellStyle name="Comma 22 6" xfId="4855" xr:uid="{EBE9ECCD-61AF-4DB0-B5EB-3111018DD621}"/>
    <cellStyle name="Comma 22 6 2" xfId="5148" xr:uid="{5B879C30-48D2-4D61-A683-2F2C43BF25DA}"/>
    <cellStyle name="Comma 22 7" xfId="4555" xr:uid="{B5FB12DB-40D7-43F6-B675-77DA0AB0FE5B}"/>
    <cellStyle name="Comma 22 8" xfId="4951" xr:uid="{D51C34BE-D419-435C-8750-6B3395CFD4AF}"/>
    <cellStyle name="Comma 3" xfId="142" xr:uid="{00000000-0005-0000-0000-0000A5020000}"/>
    <cellStyle name="Comma 4" xfId="143" xr:uid="{00000000-0005-0000-0000-0000A6020000}"/>
    <cellStyle name="Comma 5" xfId="144" xr:uid="{00000000-0005-0000-0000-0000A7020000}"/>
    <cellStyle name="Comma 6" xfId="145" xr:uid="{00000000-0005-0000-0000-0000A8020000}"/>
    <cellStyle name="Comma 7" xfId="146" xr:uid="{00000000-0005-0000-0000-0000A9020000}"/>
    <cellStyle name="Comma 8" xfId="147" xr:uid="{00000000-0005-0000-0000-0000AA020000}"/>
    <cellStyle name="Comma 9" xfId="148" xr:uid="{00000000-0005-0000-0000-0000AB020000}"/>
    <cellStyle name="Comma0" xfId="149" xr:uid="{00000000-0005-0000-0000-0000AC020000}"/>
    <cellStyle name="Company Name" xfId="150" xr:uid="{00000000-0005-0000-0000-0000AD020000}"/>
    <cellStyle name="CR Comma" xfId="151" xr:uid="{00000000-0005-0000-0000-0000AE020000}"/>
    <cellStyle name="CR Currency" xfId="152" xr:uid="{00000000-0005-0000-0000-0000AF020000}"/>
    <cellStyle name="Credit" xfId="153" xr:uid="{00000000-0005-0000-0000-0000B0020000}"/>
    <cellStyle name="Credit subtotal" xfId="154" xr:uid="{00000000-0005-0000-0000-0000B1020000}"/>
    <cellStyle name="Credit subtotal 2" xfId="773" xr:uid="{00000000-0005-0000-0000-0000B2020000}"/>
    <cellStyle name="Credit subtotal 2 2" xfId="4759" xr:uid="{064A9CFD-CC9C-4C3D-84FA-E2834BB5AD58}"/>
    <cellStyle name="Credit subtotal 2 3" xfId="4787" xr:uid="{07D9E9F0-922D-4BFA-BFD4-D72D89D835D4}"/>
    <cellStyle name="Credit subtotal 2 4" xfId="4856" xr:uid="{8A6696DE-B415-4086-901F-708CA785FD04}"/>
    <cellStyle name="Credit subtotal 3" xfId="4758" xr:uid="{35F9E995-2E0C-4100-95C7-F41A875B27E2}"/>
    <cellStyle name="Credit subtotal 4" xfId="4788" xr:uid="{9CFDD351-D163-4A73-9202-2CBF7111C33B}"/>
    <cellStyle name="Credit subtotal 5" xfId="4857" xr:uid="{51FCD85E-45F7-4AD6-84D2-7CCD28ACB8AA}"/>
    <cellStyle name="Credit Total" xfId="155" xr:uid="{00000000-0005-0000-0000-0000B3020000}"/>
    <cellStyle name="Currency %" xfId="156" xr:uid="{00000000-0005-0000-0000-0000B4020000}"/>
    <cellStyle name="Currency [0] 2" xfId="4608" xr:uid="{95179A56-AA66-44E1-A7C6-FEDB701658FA}"/>
    <cellStyle name="Currency [0] 3" xfId="4986" xr:uid="{D889C331-627E-4465-BB6D-A75670C8AA32}"/>
    <cellStyle name="Currency 0.0" xfId="157" xr:uid="{00000000-0005-0000-0000-0000B5020000}"/>
    <cellStyle name="Currency 0.0%" xfId="158" xr:uid="{00000000-0005-0000-0000-0000B6020000}"/>
    <cellStyle name="Currency 0.0_Caso 10" xfId="159" xr:uid="{00000000-0005-0000-0000-0000B7020000}"/>
    <cellStyle name="Currency 0.00" xfId="160" xr:uid="{00000000-0005-0000-0000-0000B8020000}"/>
    <cellStyle name="Currency 0.00%" xfId="161" xr:uid="{00000000-0005-0000-0000-0000B9020000}"/>
    <cellStyle name="Currency 0.00_Caso 10" xfId="162" xr:uid="{00000000-0005-0000-0000-0000BA020000}"/>
    <cellStyle name="Currency 0.000" xfId="163" xr:uid="{00000000-0005-0000-0000-0000BB020000}"/>
    <cellStyle name="Currency 0.000%" xfId="164" xr:uid="{00000000-0005-0000-0000-0000BC020000}"/>
    <cellStyle name="Currency 0.000_Caso 10" xfId="165" xr:uid="{00000000-0005-0000-0000-0000BD020000}"/>
    <cellStyle name="Currency0" xfId="166" xr:uid="{00000000-0005-0000-0000-0000BE020000}"/>
    <cellStyle name="Date" xfId="167" xr:uid="{00000000-0005-0000-0000-0000BF020000}"/>
    <cellStyle name="Debit" xfId="168" xr:uid="{00000000-0005-0000-0000-0000C0020000}"/>
    <cellStyle name="Debit subtotal" xfId="169" xr:uid="{00000000-0005-0000-0000-0000C1020000}"/>
    <cellStyle name="Debit subtotal 2" xfId="774" xr:uid="{00000000-0005-0000-0000-0000C2020000}"/>
    <cellStyle name="Debit subtotal 2 2" xfId="4761" xr:uid="{15795FA0-2DB6-4D35-9515-8C1BCC639AB3}"/>
    <cellStyle name="Debit subtotal 2 3" xfId="4785" xr:uid="{416D0D56-FF00-44FF-917C-C32610830614}"/>
    <cellStyle name="Debit subtotal 2 4" xfId="4858" xr:uid="{16E9DE5A-9455-42D7-A764-CAD9126C2D40}"/>
    <cellStyle name="Debit subtotal 3" xfId="4760" xr:uid="{A9E4FF4B-8A9A-431E-9529-402D0A911EA9}"/>
    <cellStyle name="Debit subtotal 4" xfId="4786" xr:uid="{78E02DF8-E439-4F37-8E6E-C3ACD0C0D8C2}"/>
    <cellStyle name="Debit subtotal 5" xfId="4859" xr:uid="{0529359A-F2AF-4252-A06F-0D06306BF2E2}"/>
    <cellStyle name="Debit Total" xfId="170" xr:uid="{00000000-0005-0000-0000-0000C3020000}"/>
    <cellStyle name="Dezimal [0]_FBA-6" xfId="171" xr:uid="{00000000-0005-0000-0000-0000C4020000}"/>
    <cellStyle name="Dezimal_FBA-6" xfId="172" xr:uid="{00000000-0005-0000-0000-0000C5020000}"/>
    <cellStyle name="Dia" xfId="173" xr:uid="{00000000-0005-0000-0000-0000C6020000}"/>
    <cellStyle name="Encabez1" xfId="174" xr:uid="{00000000-0005-0000-0000-0000C7020000}"/>
    <cellStyle name="Encabez2" xfId="175" xr:uid="{00000000-0005-0000-0000-0000C8020000}"/>
    <cellStyle name="Encabezado 1 2" xfId="344" xr:uid="{00000000-0005-0000-0000-0000C9020000}"/>
    <cellStyle name="Encabezado 1 3" xfId="56" xr:uid="{00000000-0005-0000-0000-0000CA020000}"/>
    <cellStyle name="Encabezado 2" xfId="176" xr:uid="{00000000-0005-0000-0000-0000CB020000}"/>
    <cellStyle name="Euro" xfId="10" xr:uid="{00000000-0005-0000-0000-0000D4020000}"/>
    <cellStyle name="Euro 2" xfId="177" xr:uid="{00000000-0005-0000-0000-0000D5020000}"/>
    <cellStyle name="Explanatory Text" xfId="35" builtinId="53" customBuiltin="1"/>
    <cellStyle name="Explanatory Text 2" xfId="178" xr:uid="{00000000-0005-0000-0000-0000D6020000}"/>
    <cellStyle name="F2" xfId="179" xr:uid="{00000000-0005-0000-0000-0000D8020000}"/>
    <cellStyle name="F3" xfId="180" xr:uid="{00000000-0005-0000-0000-0000D9020000}"/>
    <cellStyle name="F4" xfId="181" xr:uid="{00000000-0005-0000-0000-0000DA020000}"/>
    <cellStyle name="F5" xfId="182" xr:uid="{00000000-0005-0000-0000-0000DB020000}"/>
    <cellStyle name="F6" xfId="183" xr:uid="{00000000-0005-0000-0000-0000DC020000}"/>
    <cellStyle name="F7" xfId="184" xr:uid="{00000000-0005-0000-0000-0000DD020000}"/>
    <cellStyle name="F8" xfId="185" xr:uid="{00000000-0005-0000-0000-0000DE020000}"/>
    <cellStyle name="Fecha" xfId="186" xr:uid="{00000000-0005-0000-0000-0000DF020000}"/>
    <cellStyle name="Fijo" xfId="187" xr:uid="{00000000-0005-0000-0000-0000E0020000}"/>
    <cellStyle name="Financiero" xfId="188" xr:uid="{00000000-0005-0000-0000-0000E1020000}"/>
    <cellStyle name="Fixed" xfId="189" xr:uid="{00000000-0005-0000-0000-0000E2020000}"/>
    <cellStyle name="Good" xfId="26" builtinId="26" customBuiltin="1"/>
    <cellStyle name="Good 2" xfId="190" xr:uid="{00000000-0005-0000-0000-0000E3020000}"/>
    <cellStyle name="Grey" xfId="191" xr:uid="{00000000-0005-0000-0000-0000E5020000}"/>
    <cellStyle name="group" xfId="192" xr:uid="{00000000-0005-0000-0000-0000E6020000}"/>
    <cellStyle name="Header1" xfId="193" xr:uid="{00000000-0005-0000-0000-0000E7020000}"/>
    <cellStyle name="Header1 2" xfId="4762" xr:uid="{61C709A0-BDBA-4775-BE6B-73097AA71B47}"/>
    <cellStyle name="Header1 2 2" xfId="4896" xr:uid="{F83E7BE7-9423-4F0F-B28E-53123B38989A}"/>
    <cellStyle name="Header1 2 2 2" xfId="5191" xr:uid="{DDEBCEDB-3F62-44D5-BEE5-0F9F34642230}"/>
    <cellStyle name="Header1 2 3" xfId="5181" xr:uid="{7127AA19-3991-4E6D-8D59-B0186EE95B4B}"/>
    <cellStyle name="Header1 2 3 2" xfId="5201" xr:uid="{5F945887-E9A9-484B-AB3F-D975FC2DB19D}"/>
    <cellStyle name="Header1 2 4" xfId="4911" xr:uid="{CA9D7BC2-AA57-4ECA-83A5-900CB6BB4762}"/>
    <cellStyle name="Header1 2 4 2" xfId="5195" xr:uid="{E79318A5-858E-47CB-8243-BE877CCFFC5D}"/>
    <cellStyle name="Header1 2 5" xfId="4983" xr:uid="{D90DBEF7-4B29-4549-BA1F-D48A309E1D98}"/>
    <cellStyle name="Header1 2 5 2" xfId="5199" xr:uid="{6257A867-56CF-4FE6-B3D5-7A1CEF3369C8}"/>
    <cellStyle name="Header1 2 6" xfId="5189" xr:uid="{9B591AE3-39AE-4DCC-8268-6505ECB3843B}"/>
    <cellStyle name="Header1 3" xfId="4860" xr:uid="{1B406D08-97E6-4DD1-BFC3-F4B1F4976AE0}"/>
    <cellStyle name="Header1 3 2" xfId="4898" xr:uid="{D1C3C8DD-2E3F-4C6B-B204-3354691E67D0}"/>
    <cellStyle name="Header1 3 2 2" xfId="5193" xr:uid="{CB42870D-AADC-47A8-8C8C-F37421990949}"/>
    <cellStyle name="Header1 3 3" xfId="5183" xr:uid="{AE973EF4-009B-4095-A517-A1FA22F1D6B0}"/>
    <cellStyle name="Header1 3 3 2" xfId="5202" xr:uid="{D2D6984C-DB48-41E4-9F04-46423C1C321C}"/>
    <cellStyle name="Header1 3 4" xfId="4909" xr:uid="{336CA3EE-EB6A-4493-AFBB-9154FCF0B7CE}"/>
    <cellStyle name="Header1 3 4 2" xfId="5194" xr:uid="{E3017906-9E3D-4EDF-9D87-6CA6E02EF829}"/>
    <cellStyle name="Header1 3 5" xfId="5029" xr:uid="{BA7DBCC3-4E68-421C-B8FD-E1BB94EAF9DB}"/>
    <cellStyle name="Header1 3 5 2" xfId="5200" xr:uid="{616A192F-F11B-44B7-8399-BFADE0CB97F2}"/>
    <cellStyle name="Header1 3 6" xfId="5190" xr:uid="{E3320947-4BC2-49F9-A75E-3EED3DD250AC}"/>
    <cellStyle name="Header1 4" xfId="4563" xr:uid="{25ACC1D6-C331-4DC4-90DC-02C07AAD4393}"/>
    <cellStyle name="Header1 4 2" xfId="5184" xr:uid="{5696B4CB-F44C-451B-9C6E-B4EFE04902F3}"/>
    <cellStyle name="Header1 5" xfId="4959" xr:uid="{5BA2C185-69E1-4553-9818-A39362871A27}"/>
    <cellStyle name="Header1 5 2" xfId="5196" xr:uid="{258737AE-3808-4947-8FDA-1C2F5AC0886D}"/>
    <cellStyle name="Header1 6" xfId="4964" xr:uid="{82F45838-2716-4F3B-8B24-3160822B602B}"/>
    <cellStyle name="Header1 6 2" xfId="5197" xr:uid="{0EE25BCA-1E73-4ED8-B376-1914C47DFDAA}"/>
    <cellStyle name="Header1 7" xfId="4966" xr:uid="{872808A5-7660-41F0-B9DA-E9EE5F7B2970}"/>
    <cellStyle name="Header1 7 2" xfId="5198" xr:uid="{F98A9088-A30C-4787-B797-7602C8442B47}"/>
    <cellStyle name="Header1 8" xfId="4980" xr:uid="{5FB30A8E-0890-412C-8F6D-00BFED89ED17}"/>
    <cellStyle name="Header2" xfId="194" xr:uid="{00000000-0005-0000-0000-0000E8020000}"/>
    <cellStyle name="Header2 2" xfId="4763" xr:uid="{77967189-1474-44AA-8691-116A7654033B}"/>
    <cellStyle name="Header2 3" xfId="4784" xr:uid="{05D41952-04DD-4015-BCF1-8FA6367CA621}"/>
    <cellStyle name="Header2 4" xfId="4861" xr:uid="{6BDD8535-D0D1-4268-A98F-FEA466E88AB1}"/>
    <cellStyle name="Heading" xfId="195" xr:uid="{00000000-0005-0000-0000-0000E9020000}"/>
    <cellStyle name="Heading 1" xfId="4356" builtinId="16" customBuiltin="1"/>
    <cellStyle name="Heading 1 2" xfId="196" xr:uid="{00000000-0005-0000-0000-0000EA020000}"/>
    <cellStyle name="Heading 10" xfId="4981" xr:uid="{4B6FC574-F5C7-45CE-8E40-E20639FECB1D}"/>
    <cellStyle name="Heading 2" xfId="23" builtinId="17" customBuiltin="1"/>
    <cellStyle name="Heading 2 2" xfId="197" xr:uid="{00000000-0005-0000-0000-0000EC020000}"/>
    <cellStyle name="Heading 2 3" xfId="4364" xr:uid="{E1F9E252-8E64-4EB3-9D69-1922AF23C473}"/>
    <cellStyle name="Heading 3" xfId="24" builtinId="18" customBuiltin="1"/>
    <cellStyle name="Heading 3 2" xfId="198" xr:uid="{00000000-0005-0000-0000-0000EE020000}"/>
    <cellStyle name="Heading 3 2 2" xfId="4764" xr:uid="{708B6825-335B-4496-9C61-0CDD6CD8B75D}"/>
    <cellStyle name="Heading 3 2 2 2" xfId="5079" xr:uid="{18970BAA-477D-4E21-8F27-6DC72094C90B}"/>
    <cellStyle name="Heading 3 2 3" xfId="4862" xr:uid="{3B6A6F36-2C23-480A-A790-A3AC10418F2F}"/>
    <cellStyle name="Heading 3 2 3 2" xfId="5149" xr:uid="{C0063E41-14F2-4FEE-8F1A-EDBA59C50364}"/>
    <cellStyle name="Heading 3 2 4" xfId="4565" xr:uid="{7404085E-18FA-43CC-B877-C5B96D74BB6A}"/>
    <cellStyle name="Heading 3 2 4 2" xfId="5186" xr:uid="{917BDA59-1F3A-4FD3-A9F4-4992E1E914A5}"/>
    <cellStyle name="Heading 3 2 5" xfId="4961" xr:uid="{C6B4889A-CC44-4E50-B65F-8A0561AEE6E4}"/>
    <cellStyle name="Heading 3 3" xfId="4365" xr:uid="{A37D32A9-E846-4625-B031-37BF109BA832}"/>
    <cellStyle name="Heading 4" xfId="25" builtinId="19" customBuiltin="1"/>
    <cellStyle name="Heading 4 2" xfId="199" xr:uid="{00000000-0005-0000-0000-0000F0020000}"/>
    <cellStyle name="Heading 5" xfId="4564" xr:uid="{6357661A-2B19-4CE2-82C9-5E897B2BCDBC}"/>
    <cellStyle name="Heading 5 2" xfId="5185" xr:uid="{3EF93A19-B34C-4D30-9980-4FD41AD149DC}"/>
    <cellStyle name="Heading 6" xfId="4595" xr:uid="{A691A9A3-B69D-4FC6-9362-BE25B1DC0764}"/>
    <cellStyle name="Heading 6 2" xfId="5187" xr:uid="{340271C0-AFB4-4B9B-B0B8-6B5437103C57}"/>
    <cellStyle name="Heading 7" xfId="4960" xr:uid="{F3284F15-9F0C-4F21-A8A2-B9913CB73301}"/>
    <cellStyle name="Heading 8" xfId="4982" xr:uid="{E16C5192-4CD6-4058-BC23-9FC8BF2BA634}"/>
    <cellStyle name="Heading 9" xfId="4965" xr:uid="{3D741EE1-ED67-479F-8A2D-3B23D04B3DF3}"/>
    <cellStyle name="Heading No Underline" xfId="200" xr:uid="{00000000-0005-0000-0000-0000F2020000}"/>
    <cellStyle name="Heading With Underline" xfId="201" xr:uid="{00000000-0005-0000-0000-0000F3020000}"/>
    <cellStyle name="Heading1" xfId="202" xr:uid="{00000000-0005-0000-0000-0000F4020000}"/>
    <cellStyle name="Heading2" xfId="203" xr:uid="{00000000-0005-0000-0000-0000F5020000}"/>
    <cellStyle name="Input" xfId="28" builtinId="20" customBuiltin="1"/>
    <cellStyle name="Input [yellow]" xfId="204" xr:uid="{00000000-0005-0000-0000-0000F7020000}"/>
    <cellStyle name="Input 2" xfId="205" xr:uid="{00000000-0005-0000-0000-0000F8020000}"/>
    <cellStyle name="Input 2 2" xfId="775" xr:uid="{00000000-0005-0000-0000-0000F9020000}"/>
    <cellStyle name="Input 2 2 2" xfId="4766" xr:uid="{48571F1B-98F1-4978-B918-7DC7E55B5951}"/>
    <cellStyle name="Input 2 2 3" xfId="4782" xr:uid="{F83BC68A-5201-4EC2-9E8D-D98DAC53CDFA}"/>
    <cellStyle name="Input 2 2 4" xfId="4863" xr:uid="{733291B1-F277-40BB-B999-6FA92BD7BCA5}"/>
    <cellStyle name="Input 2 3" xfId="4765" xr:uid="{76707B06-86DC-4F0A-A34A-164CDBBCB636}"/>
    <cellStyle name="Input 2 4" xfId="4783" xr:uid="{D52F8F9B-7020-4271-93D4-343870CE972B}"/>
    <cellStyle name="Input 2 5" xfId="4864" xr:uid="{4DBD39B8-9874-4AA6-B219-CA3C0108D822}"/>
    <cellStyle name="invisible" xfId="206" xr:uid="{00000000-0005-0000-0000-0000FB020000}"/>
    <cellStyle name="Linked Cell" xfId="31" builtinId="24" customBuiltin="1"/>
    <cellStyle name="Linked Cell 2" xfId="207" xr:uid="{00000000-0005-0000-0000-0000FC020000}"/>
    <cellStyle name="longtext" xfId="208" xr:uid="{00000000-0005-0000-0000-0000FE020000}"/>
    <cellStyle name="ltext" xfId="209" xr:uid="{00000000-0005-0000-0000-0000FF020000}"/>
    <cellStyle name="MainHead" xfId="210" xr:uid="{00000000-0005-0000-0000-000000030000}"/>
    <cellStyle name="miles" xfId="211" xr:uid="{00000000-0005-0000-0000-000001030000}"/>
    <cellStyle name="millares (0)" xfId="212" xr:uid="{00000000-0005-0000-0000-000003030000}"/>
    <cellStyle name="Millares [0] 10" xfId="4612" xr:uid="{BEE31E88-256F-469C-9241-AC2DD988AE59}"/>
    <cellStyle name="Millares [0] 10 2" xfId="4801" xr:uid="{57C4F718-568C-4E76-A28D-B6009034AA44}"/>
    <cellStyle name="Millares [0] 10 2 2" xfId="5100" xr:uid="{62DEC92A-6BB9-4D55-9EA1-191622CB8E53}"/>
    <cellStyle name="Millares [0] 10 3" xfId="4865" xr:uid="{0B965123-C985-4024-B086-D7F902BA127F}"/>
    <cellStyle name="Millares [0] 10 3 2" xfId="5150" xr:uid="{D97B9732-D892-4D14-88FC-BED1C4DDDB50}"/>
    <cellStyle name="Millares [0] 10 4" xfId="4989" xr:uid="{DD469EB7-AD6A-4360-9AD1-A687ECF607D3}"/>
    <cellStyle name="Millares [0] 11" xfId="4629" xr:uid="{7C194CFB-3087-417B-B57E-36724F490812}"/>
    <cellStyle name="Millares [0] 11 2" xfId="5005" xr:uid="{6FA4CFCC-F06B-4C1D-92E4-36182099F8EC}"/>
    <cellStyle name="Millares [0] 12" xfId="4866" xr:uid="{69961023-C28A-4F37-87D6-4CADE357C7AF}"/>
    <cellStyle name="Millares [0] 12 2" xfId="5151" xr:uid="{1C4E7694-9DAB-494C-ABEA-068C7F48AA82}"/>
    <cellStyle name="Millares [0] 2" xfId="398" xr:uid="{00000000-0005-0000-0000-000005030000}"/>
    <cellStyle name="Millares [0] 2 2" xfId="4382" xr:uid="{AB9F4969-B64F-4829-852F-AD5E59C61B91}"/>
    <cellStyle name="Millares [0] 2 2 2" xfId="4620" xr:uid="{618B99F0-18CF-42E2-A876-E78DAE1BE311}"/>
    <cellStyle name="Millares [0] 2 2 2 2" xfId="4997" xr:uid="{0584A5D3-CF12-4D3B-AFF8-C89929FC61EF}"/>
    <cellStyle name="Millares [0] 2 2 3" xfId="4867" xr:uid="{2F813C1A-2253-4CF6-97FA-F3C40D4C0BB6}"/>
    <cellStyle name="Millares [0] 2 2 3 2" xfId="5152" xr:uid="{0D5297FC-918A-48EA-84A7-CF915F613EEE}"/>
    <cellStyle name="Millares [0] 2 2 4" xfId="4901" xr:uid="{D8BFBF07-DECC-4071-B970-45C677169F1C}"/>
    <cellStyle name="Millares [0] 2 3" xfId="4566" xr:uid="{05AAC0E7-1AC5-44DE-82A6-ED35E5F48FC2}"/>
    <cellStyle name="Millares [0] 2 3 2" xfId="4767" xr:uid="{9D78847B-2B7E-4BEE-9A5E-C00BFB3EBD18}"/>
    <cellStyle name="Millares [0] 2 3 2 2" xfId="5080" xr:uid="{117F2473-BB81-4B63-B316-6692096DC747}"/>
    <cellStyle name="Millares [0] 2 3 3" xfId="4868" xr:uid="{56E80AB1-08F3-4AF8-86F1-F5B2554A5BF7}"/>
    <cellStyle name="Millares [0] 2 3 3 2" xfId="5153" xr:uid="{49F4E6E6-881C-4AAD-AE8E-0D33139139D7}"/>
    <cellStyle name="Millares [0] 2 3 4" xfId="4962" xr:uid="{2D7248AD-27B6-45EB-B7A1-FFA14CFF19D1}"/>
    <cellStyle name="Millares [0] 2 4" xfId="4613" xr:uid="{46CDB4A9-F6E0-4985-A2C0-7A03878C696E}"/>
    <cellStyle name="Millares [0] 2 4 2" xfId="4990" xr:uid="{A497D90F-1E6B-48C5-98FF-7FD103C364F7}"/>
    <cellStyle name="Millares [0] 2 5" xfId="4869" xr:uid="{8319F702-E65D-41F8-A918-D99AA1D810B5}"/>
    <cellStyle name="Millares [0] 2 5 2" xfId="5154" xr:uid="{DAF77EF2-FE12-4CBA-B1E4-BFD8E5988DF9}"/>
    <cellStyle name="Millares [0] 2 6" xfId="4366" xr:uid="{13D9215D-4095-482F-9384-CB7452212E3C}"/>
    <cellStyle name="Millares [0] 2 7" xfId="4899" xr:uid="{E83B871D-B473-4FD4-B10D-1DAE50DA2175}"/>
    <cellStyle name="Millares [0] 3" xfId="4337" xr:uid="{00000000-0005-0000-0000-000006030000}"/>
    <cellStyle name="Millares [0] 3 2" xfId="4624" xr:uid="{7F04B7A4-4296-4634-8888-8D0C48B9A8D8}"/>
    <cellStyle name="Millares [0] 3 2 2" xfId="5000" xr:uid="{F27D67B4-FBB1-4FCA-B59A-5F0DA1808897}"/>
    <cellStyle name="Millares [0] 3 3" xfId="4870" xr:uid="{03F87DB4-8A10-47C8-AFFC-2616A023FB65}"/>
    <cellStyle name="Millares [0] 3 3 2" xfId="5155" xr:uid="{E23B3B5B-B8F4-4012-87C7-689E4FE6D6BD}"/>
    <cellStyle name="Millares [0] 3 4" xfId="4387" xr:uid="{CB1420E1-121B-46B9-B9FF-432D3971055A}"/>
    <cellStyle name="Millares [0] 3 5" xfId="4902" xr:uid="{113E16B0-C7D6-4522-941D-5FEC7E8AC4A9}"/>
    <cellStyle name="Millares [0] 4" xfId="4388" xr:uid="{DEBA0051-2C26-45AF-8B01-645E440044FB}"/>
    <cellStyle name="Millares [0] 4 2" xfId="4625" xr:uid="{CBC18FF4-0A6E-4003-9573-C268BA3F19E5}"/>
    <cellStyle name="Millares [0] 4 2 2" xfId="5001" xr:uid="{7FE73A6A-867D-49DB-ACCD-0A4278BD1CE8}"/>
    <cellStyle name="Millares [0] 4 3" xfId="4871" xr:uid="{9D75A4D3-7ADE-437B-AEED-71595196445E}"/>
    <cellStyle name="Millares [0] 4 3 2" xfId="5156" xr:uid="{BA93289F-DBEE-424C-9A04-F3AC2BC90B53}"/>
    <cellStyle name="Millares [0] 4 4" xfId="4903" xr:uid="{143A2DBD-A939-4C40-B5B1-A5ED7B74496A}"/>
    <cellStyle name="Millares [0] 5" xfId="4512" xr:uid="{CF3FE442-C506-4695-93EF-CC54CAF3F13E}"/>
    <cellStyle name="Millares [0] 6" xfId="4514" xr:uid="{30C1116C-333F-49D6-9F50-22315DF52C7E}"/>
    <cellStyle name="Millares [0] 6 2" xfId="4707" xr:uid="{D1971E48-031C-4A67-884B-148B0EF60F74}"/>
    <cellStyle name="Millares [0] 6 2 2" xfId="5030" xr:uid="{5F4EC0D3-8F8D-436B-ABC3-792D76374AD0}"/>
    <cellStyle name="Millares [0] 6 3" xfId="4872" xr:uid="{6A509F9B-FC4F-4A7E-AE0B-287394EC675E}"/>
    <cellStyle name="Millares [0] 6 3 2" xfId="5157" xr:uid="{676F65DB-C7B4-4B19-A491-73A4CF633E33}"/>
    <cellStyle name="Millares [0] 6 4" xfId="4908" xr:uid="{4CF5FC85-8D92-4340-A9A2-7E21555010C9}"/>
    <cellStyle name="Millares [0] 7" xfId="4567" xr:uid="{86A81D66-15F2-417B-80D3-149672BF62D3}"/>
    <cellStyle name="Millares [0] 7 2" xfId="4768" xr:uid="{E7AD5002-F8B8-44C1-9824-99034B98245E}"/>
    <cellStyle name="Millares [0] 7 2 2" xfId="5081" xr:uid="{B8096CC0-1682-4CB0-88E7-8A2FC45F6041}"/>
    <cellStyle name="Millares [0] 7 3" xfId="4873" xr:uid="{61CF2AB2-8D77-4129-A040-EBCBB99B7F26}"/>
    <cellStyle name="Millares [0] 7 3 2" xfId="5158" xr:uid="{5794D246-444C-4995-8C79-722169320AB8}"/>
    <cellStyle name="Millares [0] 7 4" xfId="4963" xr:uid="{55346D4C-10EE-444A-AA71-379FD1B3D16E}"/>
    <cellStyle name="Millares [0] 8" xfId="4607" xr:uid="{D0719EF6-413C-4D0C-9120-6B8ED61B18BA}"/>
    <cellStyle name="Millares [0] 8 2" xfId="4797" xr:uid="{73E32FC2-F247-4711-9F78-3A3715E8FF74}"/>
    <cellStyle name="Millares [0] 8 2 2" xfId="5096" xr:uid="{8048971F-BF5C-4DCA-80B3-F171B3C96B6C}"/>
    <cellStyle name="Millares [0] 8 3" xfId="4874" xr:uid="{FF58114E-9752-4534-B1EA-9AA9C9FAE443}"/>
    <cellStyle name="Millares [0] 8 3 2" xfId="5159" xr:uid="{4CABA74D-9520-4574-9EEC-BB86AE04C500}"/>
    <cellStyle name="Millares [0] 8 4" xfId="4985" xr:uid="{9CE3ACC9-2CED-4A67-A5AB-1BF3305E6AA8}"/>
    <cellStyle name="Millares [0] 9" xfId="4610" xr:uid="{378520ED-21EE-431C-B730-53C85601D10C}"/>
    <cellStyle name="Millares [0] 9 2" xfId="4800" xr:uid="{146B7D3A-4D41-4925-9640-79B0855DE8BA}"/>
    <cellStyle name="Millares [0] 9 2 2" xfId="5099" xr:uid="{10BF6AC5-AB62-4172-8EF5-487D14231B24}"/>
    <cellStyle name="Millares [0] 9 3" xfId="4875" xr:uid="{C0E2E9F5-396C-49A5-99DB-B2AB0E8E0891}"/>
    <cellStyle name="Millares [0] 9 3 2" xfId="5160" xr:uid="{EE591840-2CB8-4FE7-8E04-4D9C2EAFCAB0}"/>
    <cellStyle name="Millares [0] 9 4" xfId="4988" xr:uid="{14A6CFA0-FE2A-4F8C-A1E1-13C45451EDC8}"/>
    <cellStyle name="Millares 10" xfId="7" xr:uid="{00000000-0005-0000-0000-000007030000}"/>
    <cellStyle name="Millares 10 10" xfId="2764" xr:uid="{00000000-0005-0000-0000-000008030000}"/>
    <cellStyle name="Millares 10 11" xfId="301" xr:uid="{00000000-0005-0000-0000-000009030000}"/>
    <cellStyle name="Millares 10 11 2" xfId="4637" xr:uid="{C6962132-6256-4B31-BF63-E1E3BED8C8CF}"/>
    <cellStyle name="Millares 10 11 3" xfId="5010" xr:uid="{180696F0-73A8-44BD-AF58-F3C2AD21B148}"/>
    <cellStyle name="Millares 10 12" xfId="4403" xr:uid="{ED80563A-0ABF-43F7-B9DF-1CDAB280D0DE}"/>
    <cellStyle name="Millares 10 2" xfId="379" xr:uid="{00000000-0005-0000-0000-00000A030000}"/>
    <cellStyle name="Millares 10 2 2" xfId="494" xr:uid="{00000000-0005-0000-0000-00000B030000}"/>
    <cellStyle name="Millares 10 2 2 2" xfId="722" xr:uid="{00000000-0005-0000-0000-00000C030000}"/>
    <cellStyle name="Millares 10 2 2 2 2" xfId="1122" xr:uid="{00000000-0005-0000-0000-00000D030000}"/>
    <cellStyle name="Millares 10 2 2 2 2 2" xfId="2705" xr:uid="{00000000-0005-0000-0000-00000E030000}"/>
    <cellStyle name="Millares 10 2 2 2 2 2 2" xfId="4287" xr:uid="{00000000-0005-0000-0000-00000F030000}"/>
    <cellStyle name="Millares 10 2 2 2 2 3" xfId="1914" xr:uid="{00000000-0005-0000-0000-000010030000}"/>
    <cellStyle name="Millares 10 2 2 2 2 4" xfId="3496" xr:uid="{00000000-0005-0000-0000-000011030000}"/>
    <cellStyle name="Millares 10 2 2 2 3" xfId="2311" xr:uid="{00000000-0005-0000-0000-000012030000}"/>
    <cellStyle name="Millares 10 2 2 2 3 2" xfId="3893" xr:uid="{00000000-0005-0000-0000-000013030000}"/>
    <cellStyle name="Millares 10 2 2 2 4" xfId="1520" xr:uid="{00000000-0005-0000-0000-000014030000}"/>
    <cellStyle name="Millares 10 2 2 2 5" xfId="3102" xr:uid="{00000000-0005-0000-0000-000015030000}"/>
    <cellStyle name="Millares 10 2 2 3" xfId="901" xr:uid="{00000000-0005-0000-0000-000016030000}"/>
    <cellStyle name="Millares 10 2 2 3 2" xfId="2484" xr:uid="{00000000-0005-0000-0000-000017030000}"/>
    <cellStyle name="Millares 10 2 2 3 2 2" xfId="4066" xr:uid="{00000000-0005-0000-0000-000018030000}"/>
    <cellStyle name="Millares 10 2 2 3 3" xfId="1693" xr:uid="{00000000-0005-0000-0000-000019030000}"/>
    <cellStyle name="Millares 10 2 2 3 4" xfId="3275" xr:uid="{00000000-0005-0000-0000-00001A030000}"/>
    <cellStyle name="Millares 10 2 2 4" xfId="2090" xr:uid="{00000000-0005-0000-0000-00001B030000}"/>
    <cellStyle name="Millares 10 2 2 4 2" xfId="3672" xr:uid="{00000000-0005-0000-0000-00001C030000}"/>
    <cellStyle name="Millares 10 2 2 5" xfId="1299" xr:uid="{00000000-0005-0000-0000-00001D030000}"/>
    <cellStyle name="Millares 10 2 2 6" xfId="2881" xr:uid="{00000000-0005-0000-0000-00001E030000}"/>
    <cellStyle name="Millares 10 2 3" xfId="571" xr:uid="{00000000-0005-0000-0000-00001F030000}"/>
    <cellStyle name="Millares 10 2 3 2" xfId="978" xr:uid="{00000000-0005-0000-0000-000020030000}"/>
    <cellStyle name="Millares 10 2 3 2 2" xfId="2561" xr:uid="{00000000-0005-0000-0000-000021030000}"/>
    <cellStyle name="Millares 10 2 3 2 2 2" xfId="4143" xr:uid="{00000000-0005-0000-0000-000022030000}"/>
    <cellStyle name="Millares 10 2 3 2 3" xfId="1770" xr:uid="{00000000-0005-0000-0000-000023030000}"/>
    <cellStyle name="Millares 10 2 3 2 4" xfId="3352" xr:uid="{00000000-0005-0000-0000-000024030000}"/>
    <cellStyle name="Millares 10 2 3 3" xfId="2167" xr:uid="{00000000-0005-0000-0000-000025030000}"/>
    <cellStyle name="Millares 10 2 3 3 2" xfId="3749" xr:uid="{00000000-0005-0000-0000-000026030000}"/>
    <cellStyle name="Millares 10 2 3 4" xfId="1376" xr:uid="{00000000-0005-0000-0000-000027030000}"/>
    <cellStyle name="Millares 10 2 3 5" xfId="2958" xr:uid="{00000000-0005-0000-0000-000028030000}"/>
    <cellStyle name="Millares 10 2 4" xfId="646" xr:uid="{00000000-0005-0000-0000-000029030000}"/>
    <cellStyle name="Millares 10 2 4 2" xfId="1046" xr:uid="{00000000-0005-0000-0000-00002A030000}"/>
    <cellStyle name="Millares 10 2 4 2 2" xfId="2629" xr:uid="{00000000-0005-0000-0000-00002B030000}"/>
    <cellStyle name="Millares 10 2 4 2 2 2" xfId="4211" xr:uid="{00000000-0005-0000-0000-00002C030000}"/>
    <cellStyle name="Millares 10 2 4 2 3" xfId="1838" xr:uid="{00000000-0005-0000-0000-00002D030000}"/>
    <cellStyle name="Millares 10 2 4 2 4" xfId="3420" xr:uid="{00000000-0005-0000-0000-00002E030000}"/>
    <cellStyle name="Millares 10 2 4 3" xfId="2235" xr:uid="{00000000-0005-0000-0000-00002F030000}"/>
    <cellStyle name="Millares 10 2 4 3 2" xfId="3817" xr:uid="{00000000-0005-0000-0000-000030030000}"/>
    <cellStyle name="Millares 10 2 4 4" xfId="1444" xr:uid="{00000000-0005-0000-0000-000031030000}"/>
    <cellStyle name="Millares 10 2 4 5" xfId="3026" xr:uid="{00000000-0005-0000-0000-000032030000}"/>
    <cellStyle name="Millares 10 2 5" xfId="825" xr:uid="{00000000-0005-0000-0000-000033030000}"/>
    <cellStyle name="Millares 10 2 5 2" xfId="2408" xr:uid="{00000000-0005-0000-0000-000034030000}"/>
    <cellStyle name="Millares 10 2 5 2 2" xfId="3990" xr:uid="{00000000-0005-0000-0000-000035030000}"/>
    <cellStyle name="Millares 10 2 5 3" xfId="1617" xr:uid="{00000000-0005-0000-0000-000036030000}"/>
    <cellStyle name="Millares 10 2 5 4" xfId="3199" xr:uid="{00000000-0005-0000-0000-000037030000}"/>
    <cellStyle name="Millares 10 2 6" xfId="2014" xr:uid="{00000000-0005-0000-0000-000038030000}"/>
    <cellStyle name="Millares 10 2 6 2" xfId="3596" xr:uid="{00000000-0005-0000-0000-000039030000}"/>
    <cellStyle name="Millares 10 2 7" xfId="1223" xr:uid="{00000000-0005-0000-0000-00003A030000}"/>
    <cellStyle name="Millares 10 2 8" xfId="2805" xr:uid="{00000000-0005-0000-0000-00003B030000}"/>
    <cellStyle name="Millares 10 3" xfId="453" xr:uid="{00000000-0005-0000-0000-00003C030000}"/>
    <cellStyle name="Millares 10 3 2" xfId="681" xr:uid="{00000000-0005-0000-0000-00003D030000}"/>
    <cellStyle name="Millares 10 3 2 2" xfId="1081" xr:uid="{00000000-0005-0000-0000-00003E030000}"/>
    <cellStyle name="Millares 10 3 2 2 2" xfId="2664" xr:uid="{00000000-0005-0000-0000-00003F030000}"/>
    <cellStyle name="Millares 10 3 2 2 2 2" xfId="4246" xr:uid="{00000000-0005-0000-0000-000040030000}"/>
    <cellStyle name="Millares 10 3 2 2 3" xfId="1873" xr:uid="{00000000-0005-0000-0000-000041030000}"/>
    <cellStyle name="Millares 10 3 2 2 4" xfId="3455" xr:uid="{00000000-0005-0000-0000-000042030000}"/>
    <cellStyle name="Millares 10 3 2 3" xfId="2270" xr:uid="{00000000-0005-0000-0000-000043030000}"/>
    <cellStyle name="Millares 10 3 2 3 2" xfId="3852" xr:uid="{00000000-0005-0000-0000-000044030000}"/>
    <cellStyle name="Millares 10 3 2 4" xfId="1479" xr:uid="{00000000-0005-0000-0000-000045030000}"/>
    <cellStyle name="Millares 10 3 2 5" xfId="3061" xr:uid="{00000000-0005-0000-0000-000046030000}"/>
    <cellStyle name="Millares 10 3 3" xfId="860" xr:uid="{00000000-0005-0000-0000-000047030000}"/>
    <cellStyle name="Millares 10 3 3 2" xfId="2443" xr:uid="{00000000-0005-0000-0000-000048030000}"/>
    <cellStyle name="Millares 10 3 3 2 2" xfId="4025" xr:uid="{00000000-0005-0000-0000-000049030000}"/>
    <cellStyle name="Millares 10 3 3 3" xfId="1652" xr:uid="{00000000-0005-0000-0000-00004A030000}"/>
    <cellStyle name="Millares 10 3 3 4" xfId="3234" xr:uid="{00000000-0005-0000-0000-00004B030000}"/>
    <cellStyle name="Millares 10 3 4" xfId="2049" xr:uid="{00000000-0005-0000-0000-00004C030000}"/>
    <cellStyle name="Millares 10 3 4 2" xfId="3631" xr:uid="{00000000-0005-0000-0000-00004D030000}"/>
    <cellStyle name="Millares 10 3 5" xfId="1258" xr:uid="{00000000-0005-0000-0000-00004E030000}"/>
    <cellStyle name="Millares 10 3 6" xfId="2840" xr:uid="{00000000-0005-0000-0000-00004F030000}"/>
    <cellStyle name="Millares 10 4" xfId="530" xr:uid="{00000000-0005-0000-0000-000050030000}"/>
    <cellStyle name="Millares 10 4 2" xfId="937" xr:uid="{00000000-0005-0000-0000-000051030000}"/>
    <cellStyle name="Millares 10 4 2 2" xfId="2520" xr:uid="{00000000-0005-0000-0000-000052030000}"/>
    <cellStyle name="Millares 10 4 2 2 2" xfId="4102" xr:uid="{00000000-0005-0000-0000-000053030000}"/>
    <cellStyle name="Millares 10 4 2 3" xfId="1729" xr:uid="{00000000-0005-0000-0000-000054030000}"/>
    <cellStyle name="Millares 10 4 2 4" xfId="3311" xr:uid="{00000000-0005-0000-0000-000055030000}"/>
    <cellStyle name="Millares 10 4 3" xfId="2126" xr:uid="{00000000-0005-0000-0000-000056030000}"/>
    <cellStyle name="Millares 10 4 3 2" xfId="3708" xr:uid="{00000000-0005-0000-0000-000057030000}"/>
    <cellStyle name="Millares 10 4 4" xfId="1335" xr:uid="{00000000-0005-0000-0000-000058030000}"/>
    <cellStyle name="Millares 10 4 5" xfId="2917" xr:uid="{00000000-0005-0000-0000-000059030000}"/>
    <cellStyle name="Millares 10 5" xfId="605" xr:uid="{00000000-0005-0000-0000-00005A030000}"/>
    <cellStyle name="Millares 10 5 2" xfId="1005" xr:uid="{00000000-0005-0000-0000-00005B030000}"/>
    <cellStyle name="Millares 10 5 2 2" xfId="2588" xr:uid="{00000000-0005-0000-0000-00005C030000}"/>
    <cellStyle name="Millares 10 5 2 2 2" xfId="4170" xr:uid="{00000000-0005-0000-0000-00005D030000}"/>
    <cellStyle name="Millares 10 5 2 3" xfId="1797" xr:uid="{00000000-0005-0000-0000-00005E030000}"/>
    <cellStyle name="Millares 10 5 2 4" xfId="3379" xr:uid="{00000000-0005-0000-0000-00005F030000}"/>
    <cellStyle name="Millares 10 5 3" xfId="2194" xr:uid="{00000000-0005-0000-0000-000060030000}"/>
    <cellStyle name="Millares 10 5 3 2" xfId="3776" xr:uid="{00000000-0005-0000-0000-000061030000}"/>
    <cellStyle name="Millares 10 5 4" xfId="1403" xr:uid="{00000000-0005-0000-0000-000062030000}"/>
    <cellStyle name="Millares 10 5 5" xfId="2985" xr:uid="{00000000-0005-0000-0000-000063030000}"/>
    <cellStyle name="Millares 10 6" xfId="757" xr:uid="{00000000-0005-0000-0000-000064030000}"/>
    <cellStyle name="Millares 10 6 2" xfId="1157" xr:uid="{00000000-0005-0000-0000-000065030000}"/>
    <cellStyle name="Millares 10 6 2 2" xfId="2740" xr:uid="{00000000-0005-0000-0000-000066030000}"/>
    <cellStyle name="Millares 10 6 2 2 2" xfId="4322" xr:uid="{00000000-0005-0000-0000-000067030000}"/>
    <cellStyle name="Millares 10 6 2 3" xfId="1949" xr:uid="{00000000-0005-0000-0000-000068030000}"/>
    <cellStyle name="Millares 10 6 2 4" xfId="3531" xr:uid="{00000000-0005-0000-0000-000069030000}"/>
    <cellStyle name="Millares 10 6 3" xfId="2346" xr:uid="{00000000-0005-0000-0000-00006A030000}"/>
    <cellStyle name="Millares 10 6 3 2" xfId="3928" xr:uid="{00000000-0005-0000-0000-00006B030000}"/>
    <cellStyle name="Millares 10 6 4" xfId="1555" xr:uid="{00000000-0005-0000-0000-00006C030000}"/>
    <cellStyle name="Millares 10 6 5" xfId="3137" xr:uid="{00000000-0005-0000-0000-00006D030000}"/>
    <cellStyle name="Millares 10 7" xfId="784" xr:uid="{00000000-0005-0000-0000-00006E030000}"/>
    <cellStyle name="Millares 10 7 2" xfId="2367" xr:uid="{00000000-0005-0000-0000-00006F030000}"/>
    <cellStyle name="Millares 10 7 2 2" xfId="3949" xr:uid="{00000000-0005-0000-0000-000070030000}"/>
    <cellStyle name="Millares 10 7 3" xfId="1576" xr:uid="{00000000-0005-0000-0000-000071030000}"/>
    <cellStyle name="Millares 10 7 4" xfId="3158" xr:uid="{00000000-0005-0000-0000-000072030000}"/>
    <cellStyle name="Millares 10 8" xfId="1973" xr:uid="{00000000-0005-0000-0000-000073030000}"/>
    <cellStyle name="Millares 10 8 2" xfId="3555" xr:uid="{00000000-0005-0000-0000-000074030000}"/>
    <cellStyle name="Millares 10 9" xfId="1182" xr:uid="{00000000-0005-0000-0000-000075030000}"/>
    <cellStyle name="Millares 11" xfId="308" xr:uid="{00000000-0005-0000-0000-000076030000}"/>
    <cellStyle name="Millares 11 10" xfId="2768" xr:uid="{00000000-0005-0000-0000-000077030000}"/>
    <cellStyle name="Millares 11 11" xfId="4632" xr:uid="{4F3BA149-2CFE-423C-8798-A0EA9F86DC6C}"/>
    <cellStyle name="Millares 11 11 2" xfId="5008" xr:uid="{57A91065-E473-4D86-9EA9-68C07108F90B}"/>
    <cellStyle name="Millares 11 12" xfId="4398" xr:uid="{7E3B0527-7723-43DA-B9DD-C61A9DE9ECE2}"/>
    <cellStyle name="Millares 11 2" xfId="386" xr:uid="{00000000-0005-0000-0000-000078030000}"/>
    <cellStyle name="Millares 11 2 2" xfId="498" xr:uid="{00000000-0005-0000-0000-000079030000}"/>
    <cellStyle name="Millares 11 2 2 2" xfId="726" xr:uid="{00000000-0005-0000-0000-00007A030000}"/>
    <cellStyle name="Millares 11 2 2 2 2" xfId="1126" xr:uid="{00000000-0005-0000-0000-00007B030000}"/>
    <cellStyle name="Millares 11 2 2 2 2 2" xfId="2709" xr:uid="{00000000-0005-0000-0000-00007C030000}"/>
    <cellStyle name="Millares 11 2 2 2 2 2 2" xfId="4291" xr:uid="{00000000-0005-0000-0000-00007D030000}"/>
    <cellStyle name="Millares 11 2 2 2 2 3" xfId="1918" xr:uid="{00000000-0005-0000-0000-00007E030000}"/>
    <cellStyle name="Millares 11 2 2 2 2 4" xfId="3500" xr:uid="{00000000-0005-0000-0000-00007F030000}"/>
    <cellStyle name="Millares 11 2 2 2 3" xfId="2315" xr:uid="{00000000-0005-0000-0000-000080030000}"/>
    <cellStyle name="Millares 11 2 2 2 3 2" xfId="3897" xr:uid="{00000000-0005-0000-0000-000081030000}"/>
    <cellStyle name="Millares 11 2 2 2 4" xfId="1524" xr:uid="{00000000-0005-0000-0000-000082030000}"/>
    <cellStyle name="Millares 11 2 2 2 5" xfId="3106" xr:uid="{00000000-0005-0000-0000-000083030000}"/>
    <cellStyle name="Millares 11 2 2 3" xfId="905" xr:uid="{00000000-0005-0000-0000-000084030000}"/>
    <cellStyle name="Millares 11 2 2 3 2" xfId="2488" xr:uid="{00000000-0005-0000-0000-000085030000}"/>
    <cellStyle name="Millares 11 2 2 3 2 2" xfId="4070" xr:uid="{00000000-0005-0000-0000-000086030000}"/>
    <cellStyle name="Millares 11 2 2 3 3" xfId="1697" xr:uid="{00000000-0005-0000-0000-000087030000}"/>
    <cellStyle name="Millares 11 2 2 3 4" xfId="3279" xr:uid="{00000000-0005-0000-0000-000088030000}"/>
    <cellStyle name="Millares 11 2 2 4" xfId="2094" xr:uid="{00000000-0005-0000-0000-000089030000}"/>
    <cellStyle name="Millares 11 2 2 4 2" xfId="3676" xr:uid="{00000000-0005-0000-0000-00008A030000}"/>
    <cellStyle name="Millares 11 2 2 5" xfId="1303" xr:uid="{00000000-0005-0000-0000-00008B030000}"/>
    <cellStyle name="Millares 11 2 2 6" xfId="2885" xr:uid="{00000000-0005-0000-0000-00008C030000}"/>
    <cellStyle name="Millares 11 2 3" xfId="575" xr:uid="{00000000-0005-0000-0000-00008D030000}"/>
    <cellStyle name="Millares 11 2 3 2" xfId="982" xr:uid="{00000000-0005-0000-0000-00008E030000}"/>
    <cellStyle name="Millares 11 2 3 2 2" xfId="2565" xr:uid="{00000000-0005-0000-0000-00008F030000}"/>
    <cellStyle name="Millares 11 2 3 2 2 2" xfId="4147" xr:uid="{00000000-0005-0000-0000-000090030000}"/>
    <cellStyle name="Millares 11 2 3 2 3" xfId="1774" xr:uid="{00000000-0005-0000-0000-000091030000}"/>
    <cellStyle name="Millares 11 2 3 2 4" xfId="3356" xr:uid="{00000000-0005-0000-0000-000092030000}"/>
    <cellStyle name="Millares 11 2 3 3" xfId="2171" xr:uid="{00000000-0005-0000-0000-000093030000}"/>
    <cellStyle name="Millares 11 2 3 3 2" xfId="3753" xr:uid="{00000000-0005-0000-0000-000094030000}"/>
    <cellStyle name="Millares 11 2 3 4" xfId="1380" xr:uid="{00000000-0005-0000-0000-000095030000}"/>
    <cellStyle name="Millares 11 2 3 5" xfId="2962" xr:uid="{00000000-0005-0000-0000-000096030000}"/>
    <cellStyle name="Millares 11 2 4" xfId="650" xr:uid="{00000000-0005-0000-0000-000097030000}"/>
    <cellStyle name="Millares 11 2 4 2" xfId="1050" xr:uid="{00000000-0005-0000-0000-000098030000}"/>
    <cellStyle name="Millares 11 2 4 2 2" xfId="2633" xr:uid="{00000000-0005-0000-0000-000099030000}"/>
    <cellStyle name="Millares 11 2 4 2 2 2" xfId="4215" xr:uid="{00000000-0005-0000-0000-00009A030000}"/>
    <cellStyle name="Millares 11 2 4 2 3" xfId="1842" xr:uid="{00000000-0005-0000-0000-00009B030000}"/>
    <cellStyle name="Millares 11 2 4 2 4" xfId="3424" xr:uid="{00000000-0005-0000-0000-00009C030000}"/>
    <cellStyle name="Millares 11 2 4 3" xfId="2239" xr:uid="{00000000-0005-0000-0000-00009D030000}"/>
    <cellStyle name="Millares 11 2 4 3 2" xfId="3821" xr:uid="{00000000-0005-0000-0000-00009E030000}"/>
    <cellStyle name="Millares 11 2 4 4" xfId="1448" xr:uid="{00000000-0005-0000-0000-00009F030000}"/>
    <cellStyle name="Millares 11 2 4 5" xfId="3030" xr:uid="{00000000-0005-0000-0000-0000A0030000}"/>
    <cellStyle name="Millares 11 2 5" xfId="829" xr:uid="{00000000-0005-0000-0000-0000A1030000}"/>
    <cellStyle name="Millares 11 2 5 2" xfId="2412" xr:uid="{00000000-0005-0000-0000-0000A2030000}"/>
    <cellStyle name="Millares 11 2 5 2 2" xfId="3994" xr:uid="{00000000-0005-0000-0000-0000A3030000}"/>
    <cellStyle name="Millares 11 2 5 3" xfId="1621" xr:uid="{00000000-0005-0000-0000-0000A4030000}"/>
    <cellStyle name="Millares 11 2 5 4" xfId="3203" xr:uid="{00000000-0005-0000-0000-0000A5030000}"/>
    <cellStyle name="Millares 11 2 6" xfId="2018" xr:uid="{00000000-0005-0000-0000-0000A6030000}"/>
    <cellStyle name="Millares 11 2 6 2" xfId="3600" xr:uid="{00000000-0005-0000-0000-0000A7030000}"/>
    <cellStyle name="Millares 11 2 7" xfId="1227" xr:uid="{00000000-0005-0000-0000-0000A8030000}"/>
    <cellStyle name="Millares 11 2 8" xfId="2809" xr:uid="{00000000-0005-0000-0000-0000A9030000}"/>
    <cellStyle name="Millares 11 3" xfId="457" xr:uid="{00000000-0005-0000-0000-0000AA030000}"/>
    <cellStyle name="Millares 11 3 2" xfId="685" xr:uid="{00000000-0005-0000-0000-0000AB030000}"/>
    <cellStyle name="Millares 11 3 2 2" xfId="1085" xr:uid="{00000000-0005-0000-0000-0000AC030000}"/>
    <cellStyle name="Millares 11 3 2 2 2" xfId="2668" xr:uid="{00000000-0005-0000-0000-0000AD030000}"/>
    <cellStyle name="Millares 11 3 2 2 2 2" xfId="4250" xr:uid="{00000000-0005-0000-0000-0000AE030000}"/>
    <cellStyle name="Millares 11 3 2 2 3" xfId="1877" xr:uid="{00000000-0005-0000-0000-0000AF030000}"/>
    <cellStyle name="Millares 11 3 2 2 4" xfId="3459" xr:uid="{00000000-0005-0000-0000-0000B0030000}"/>
    <cellStyle name="Millares 11 3 2 3" xfId="2274" xr:uid="{00000000-0005-0000-0000-0000B1030000}"/>
    <cellStyle name="Millares 11 3 2 3 2" xfId="3856" xr:uid="{00000000-0005-0000-0000-0000B2030000}"/>
    <cellStyle name="Millares 11 3 2 4" xfId="1483" xr:uid="{00000000-0005-0000-0000-0000B3030000}"/>
    <cellStyle name="Millares 11 3 2 5" xfId="3065" xr:uid="{00000000-0005-0000-0000-0000B4030000}"/>
    <cellStyle name="Millares 11 3 3" xfId="864" xr:uid="{00000000-0005-0000-0000-0000B5030000}"/>
    <cellStyle name="Millares 11 3 3 2" xfId="2447" xr:uid="{00000000-0005-0000-0000-0000B6030000}"/>
    <cellStyle name="Millares 11 3 3 2 2" xfId="4029" xr:uid="{00000000-0005-0000-0000-0000B7030000}"/>
    <cellStyle name="Millares 11 3 3 3" xfId="1656" xr:uid="{00000000-0005-0000-0000-0000B8030000}"/>
    <cellStyle name="Millares 11 3 3 4" xfId="3238" xr:uid="{00000000-0005-0000-0000-0000B9030000}"/>
    <cellStyle name="Millares 11 3 4" xfId="2053" xr:uid="{00000000-0005-0000-0000-0000BA030000}"/>
    <cellStyle name="Millares 11 3 4 2" xfId="3635" xr:uid="{00000000-0005-0000-0000-0000BB030000}"/>
    <cellStyle name="Millares 11 3 5" xfId="1262" xr:uid="{00000000-0005-0000-0000-0000BC030000}"/>
    <cellStyle name="Millares 11 3 6" xfId="2844" xr:uid="{00000000-0005-0000-0000-0000BD030000}"/>
    <cellStyle name="Millares 11 4" xfId="534" xr:uid="{00000000-0005-0000-0000-0000BE030000}"/>
    <cellStyle name="Millares 11 4 2" xfId="941" xr:uid="{00000000-0005-0000-0000-0000BF030000}"/>
    <cellStyle name="Millares 11 4 2 2" xfId="2524" xr:uid="{00000000-0005-0000-0000-0000C0030000}"/>
    <cellStyle name="Millares 11 4 2 2 2" xfId="4106" xr:uid="{00000000-0005-0000-0000-0000C1030000}"/>
    <cellStyle name="Millares 11 4 2 3" xfId="1733" xr:uid="{00000000-0005-0000-0000-0000C2030000}"/>
    <cellStyle name="Millares 11 4 2 4" xfId="3315" xr:uid="{00000000-0005-0000-0000-0000C3030000}"/>
    <cellStyle name="Millares 11 4 3" xfId="2130" xr:uid="{00000000-0005-0000-0000-0000C4030000}"/>
    <cellStyle name="Millares 11 4 3 2" xfId="3712" xr:uid="{00000000-0005-0000-0000-0000C5030000}"/>
    <cellStyle name="Millares 11 4 4" xfId="1339" xr:uid="{00000000-0005-0000-0000-0000C6030000}"/>
    <cellStyle name="Millares 11 4 5" xfId="2921" xr:uid="{00000000-0005-0000-0000-0000C7030000}"/>
    <cellStyle name="Millares 11 5" xfId="609" xr:uid="{00000000-0005-0000-0000-0000C8030000}"/>
    <cellStyle name="Millares 11 5 2" xfId="1009" xr:uid="{00000000-0005-0000-0000-0000C9030000}"/>
    <cellStyle name="Millares 11 5 2 2" xfId="2592" xr:uid="{00000000-0005-0000-0000-0000CA030000}"/>
    <cellStyle name="Millares 11 5 2 2 2" xfId="4174" xr:uid="{00000000-0005-0000-0000-0000CB030000}"/>
    <cellStyle name="Millares 11 5 2 3" xfId="1801" xr:uid="{00000000-0005-0000-0000-0000CC030000}"/>
    <cellStyle name="Millares 11 5 2 4" xfId="3383" xr:uid="{00000000-0005-0000-0000-0000CD030000}"/>
    <cellStyle name="Millares 11 5 3" xfId="2198" xr:uid="{00000000-0005-0000-0000-0000CE030000}"/>
    <cellStyle name="Millares 11 5 3 2" xfId="3780" xr:uid="{00000000-0005-0000-0000-0000CF030000}"/>
    <cellStyle name="Millares 11 5 4" xfId="1407" xr:uid="{00000000-0005-0000-0000-0000D0030000}"/>
    <cellStyle name="Millares 11 5 5" xfId="2989" xr:uid="{00000000-0005-0000-0000-0000D1030000}"/>
    <cellStyle name="Millares 11 6" xfId="761" xr:uid="{00000000-0005-0000-0000-0000D2030000}"/>
    <cellStyle name="Millares 11 6 2" xfId="1161" xr:uid="{00000000-0005-0000-0000-0000D3030000}"/>
    <cellStyle name="Millares 11 6 2 2" xfId="2744" xr:uid="{00000000-0005-0000-0000-0000D4030000}"/>
    <cellStyle name="Millares 11 6 2 2 2" xfId="4326" xr:uid="{00000000-0005-0000-0000-0000D5030000}"/>
    <cellStyle name="Millares 11 6 2 3" xfId="1953" xr:uid="{00000000-0005-0000-0000-0000D6030000}"/>
    <cellStyle name="Millares 11 6 2 4" xfId="3535" xr:uid="{00000000-0005-0000-0000-0000D7030000}"/>
    <cellStyle name="Millares 11 6 3" xfId="2350" xr:uid="{00000000-0005-0000-0000-0000D8030000}"/>
    <cellStyle name="Millares 11 6 3 2" xfId="3932" xr:uid="{00000000-0005-0000-0000-0000D9030000}"/>
    <cellStyle name="Millares 11 6 4" xfId="1559" xr:uid="{00000000-0005-0000-0000-0000DA030000}"/>
    <cellStyle name="Millares 11 6 5" xfId="3141" xr:uid="{00000000-0005-0000-0000-0000DB030000}"/>
    <cellStyle name="Millares 11 7" xfId="788" xr:uid="{00000000-0005-0000-0000-0000DC030000}"/>
    <cellStyle name="Millares 11 7 2" xfId="2371" xr:uid="{00000000-0005-0000-0000-0000DD030000}"/>
    <cellStyle name="Millares 11 7 2 2" xfId="3953" xr:uid="{00000000-0005-0000-0000-0000DE030000}"/>
    <cellStyle name="Millares 11 7 3" xfId="1580" xr:uid="{00000000-0005-0000-0000-0000DF030000}"/>
    <cellStyle name="Millares 11 7 4" xfId="3162" xr:uid="{00000000-0005-0000-0000-0000E0030000}"/>
    <cellStyle name="Millares 11 8" xfId="1977" xr:uid="{00000000-0005-0000-0000-0000E1030000}"/>
    <cellStyle name="Millares 11 8 2" xfId="3559" xr:uid="{00000000-0005-0000-0000-0000E2030000}"/>
    <cellStyle name="Millares 11 9" xfId="1186" xr:uid="{00000000-0005-0000-0000-0000E3030000}"/>
    <cellStyle name="Millares 12" xfId="347" xr:uid="{00000000-0005-0000-0000-0000E4030000}"/>
    <cellStyle name="Millares 12 10" xfId="4423" xr:uid="{E0F5773B-CFA1-4166-B8A5-B33DEAB7A2E4}"/>
    <cellStyle name="Millares 12 2" xfId="468" xr:uid="{00000000-0005-0000-0000-0000E5030000}"/>
    <cellStyle name="Millares 12 2 2" xfId="696" xr:uid="{00000000-0005-0000-0000-0000E6030000}"/>
    <cellStyle name="Millares 12 2 2 2" xfId="1096" xr:uid="{00000000-0005-0000-0000-0000E7030000}"/>
    <cellStyle name="Millares 12 2 2 2 2" xfId="2679" xr:uid="{00000000-0005-0000-0000-0000E8030000}"/>
    <cellStyle name="Millares 12 2 2 2 2 2" xfId="4261" xr:uid="{00000000-0005-0000-0000-0000E9030000}"/>
    <cellStyle name="Millares 12 2 2 2 3" xfId="1888" xr:uid="{00000000-0005-0000-0000-0000EA030000}"/>
    <cellStyle name="Millares 12 2 2 2 4" xfId="3470" xr:uid="{00000000-0005-0000-0000-0000EB030000}"/>
    <cellStyle name="Millares 12 2 2 3" xfId="2285" xr:uid="{00000000-0005-0000-0000-0000EC030000}"/>
    <cellStyle name="Millares 12 2 2 3 2" xfId="3867" xr:uid="{00000000-0005-0000-0000-0000ED030000}"/>
    <cellStyle name="Millares 12 2 2 4" xfId="1494" xr:uid="{00000000-0005-0000-0000-0000EE030000}"/>
    <cellStyle name="Millares 12 2 2 5" xfId="3076" xr:uid="{00000000-0005-0000-0000-0000EF030000}"/>
    <cellStyle name="Millares 12 2 3" xfId="875" xr:uid="{00000000-0005-0000-0000-0000F0030000}"/>
    <cellStyle name="Millares 12 2 3 2" xfId="2458" xr:uid="{00000000-0005-0000-0000-0000F1030000}"/>
    <cellStyle name="Millares 12 2 3 2 2" xfId="4040" xr:uid="{00000000-0005-0000-0000-0000F2030000}"/>
    <cellStyle name="Millares 12 2 3 3" xfId="1667" xr:uid="{00000000-0005-0000-0000-0000F3030000}"/>
    <cellStyle name="Millares 12 2 3 4" xfId="3249" xr:uid="{00000000-0005-0000-0000-0000F4030000}"/>
    <cellStyle name="Millares 12 2 4" xfId="2064" xr:uid="{00000000-0005-0000-0000-0000F5030000}"/>
    <cellStyle name="Millares 12 2 4 2" xfId="3646" xr:uid="{00000000-0005-0000-0000-0000F6030000}"/>
    <cellStyle name="Millares 12 2 5" xfId="1273" xr:uid="{00000000-0005-0000-0000-0000F7030000}"/>
    <cellStyle name="Millares 12 2 6" xfId="2855" xr:uid="{00000000-0005-0000-0000-0000F8030000}"/>
    <cellStyle name="Millares 12 3" xfId="545" xr:uid="{00000000-0005-0000-0000-0000F9030000}"/>
    <cellStyle name="Millares 12 3 2" xfId="952" xr:uid="{00000000-0005-0000-0000-0000FA030000}"/>
    <cellStyle name="Millares 12 3 2 2" xfId="2535" xr:uid="{00000000-0005-0000-0000-0000FB030000}"/>
    <cellStyle name="Millares 12 3 2 2 2" xfId="4117" xr:uid="{00000000-0005-0000-0000-0000FC030000}"/>
    <cellStyle name="Millares 12 3 2 3" xfId="1744" xr:uid="{00000000-0005-0000-0000-0000FD030000}"/>
    <cellStyle name="Millares 12 3 2 4" xfId="3326" xr:uid="{00000000-0005-0000-0000-0000FE030000}"/>
    <cellStyle name="Millares 12 3 3" xfId="2141" xr:uid="{00000000-0005-0000-0000-0000FF030000}"/>
    <cellStyle name="Millares 12 3 3 2" xfId="3723" xr:uid="{00000000-0005-0000-0000-000000040000}"/>
    <cellStyle name="Millares 12 3 4" xfId="1350" xr:uid="{00000000-0005-0000-0000-000001040000}"/>
    <cellStyle name="Millares 12 3 5" xfId="2932" xr:uid="{00000000-0005-0000-0000-000002040000}"/>
    <cellStyle name="Millares 12 4" xfId="620" xr:uid="{00000000-0005-0000-0000-000003040000}"/>
    <cellStyle name="Millares 12 4 2" xfId="1020" xr:uid="{00000000-0005-0000-0000-000004040000}"/>
    <cellStyle name="Millares 12 4 2 2" xfId="2603" xr:uid="{00000000-0005-0000-0000-000005040000}"/>
    <cellStyle name="Millares 12 4 2 2 2" xfId="4185" xr:uid="{00000000-0005-0000-0000-000006040000}"/>
    <cellStyle name="Millares 12 4 2 3" xfId="1812" xr:uid="{00000000-0005-0000-0000-000007040000}"/>
    <cellStyle name="Millares 12 4 2 4" xfId="3394" xr:uid="{00000000-0005-0000-0000-000008040000}"/>
    <cellStyle name="Millares 12 4 3" xfId="2209" xr:uid="{00000000-0005-0000-0000-000009040000}"/>
    <cellStyle name="Millares 12 4 3 2" xfId="3791" xr:uid="{00000000-0005-0000-0000-00000A040000}"/>
    <cellStyle name="Millares 12 4 4" xfId="1418" xr:uid="{00000000-0005-0000-0000-00000B040000}"/>
    <cellStyle name="Millares 12 4 5" xfId="3000" xr:uid="{00000000-0005-0000-0000-00000C040000}"/>
    <cellStyle name="Millares 12 5" xfId="799" xr:uid="{00000000-0005-0000-0000-00000D040000}"/>
    <cellStyle name="Millares 12 5 2" xfId="2382" xr:uid="{00000000-0005-0000-0000-00000E040000}"/>
    <cellStyle name="Millares 12 5 2 2" xfId="3964" xr:uid="{00000000-0005-0000-0000-00000F040000}"/>
    <cellStyle name="Millares 12 5 3" xfId="1591" xr:uid="{00000000-0005-0000-0000-000010040000}"/>
    <cellStyle name="Millares 12 5 4" xfId="3173" xr:uid="{00000000-0005-0000-0000-000011040000}"/>
    <cellStyle name="Millares 12 6" xfId="1988" xr:uid="{00000000-0005-0000-0000-000012040000}"/>
    <cellStyle name="Millares 12 6 2" xfId="3570" xr:uid="{00000000-0005-0000-0000-000013040000}"/>
    <cellStyle name="Millares 12 7" xfId="1197" xr:uid="{00000000-0005-0000-0000-000014040000}"/>
    <cellStyle name="Millares 12 8" xfId="2779" xr:uid="{00000000-0005-0000-0000-000015040000}"/>
    <cellStyle name="Millares 12 9" xfId="4654" xr:uid="{650C2937-5569-473E-824B-31E50C4D0418}"/>
    <cellStyle name="Millares 12 9 2" xfId="5027" xr:uid="{AFEE87E3-3B74-4BBA-890A-81C135D9A072}"/>
    <cellStyle name="Millares 13" xfId="365" xr:uid="{00000000-0005-0000-0000-000016040000}"/>
    <cellStyle name="Millares 13 10" xfId="4405" xr:uid="{ACF34E1D-5AA4-4EA4-B659-DC6313CA94B2}"/>
    <cellStyle name="Millares 13 2" xfId="483" xr:uid="{00000000-0005-0000-0000-000017040000}"/>
    <cellStyle name="Millares 13 2 2" xfId="711" xr:uid="{00000000-0005-0000-0000-000018040000}"/>
    <cellStyle name="Millares 13 2 2 2" xfId="1111" xr:uid="{00000000-0005-0000-0000-000019040000}"/>
    <cellStyle name="Millares 13 2 2 2 2" xfId="2694" xr:uid="{00000000-0005-0000-0000-00001A040000}"/>
    <cellStyle name="Millares 13 2 2 2 2 2" xfId="4276" xr:uid="{00000000-0005-0000-0000-00001B040000}"/>
    <cellStyle name="Millares 13 2 2 2 3" xfId="1903" xr:uid="{00000000-0005-0000-0000-00001C040000}"/>
    <cellStyle name="Millares 13 2 2 2 4" xfId="3485" xr:uid="{00000000-0005-0000-0000-00001D040000}"/>
    <cellStyle name="Millares 13 2 2 3" xfId="2300" xr:uid="{00000000-0005-0000-0000-00001E040000}"/>
    <cellStyle name="Millares 13 2 2 3 2" xfId="3882" xr:uid="{00000000-0005-0000-0000-00001F040000}"/>
    <cellStyle name="Millares 13 2 2 4" xfId="1509" xr:uid="{00000000-0005-0000-0000-000020040000}"/>
    <cellStyle name="Millares 13 2 2 5" xfId="3091" xr:uid="{00000000-0005-0000-0000-000021040000}"/>
    <cellStyle name="Millares 13 2 3" xfId="890" xr:uid="{00000000-0005-0000-0000-000022040000}"/>
    <cellStyle name="Millares 13 2 3 2" xfId="2473" xr:uid="{00000000-0005-0000-0000-000023040000}"/>
    <cellStyle name="Millares 13 2 3 2 2" xfId="4055" xr:uid="{00000000-0005-0000-0000-000024040000}"/>
    <cellStyle name="Millares 13 2 3 3" xfId="1682" xr:uid="{00000000-0005-0000-0000-000025040000}"/>
    <cellStyle name="Millares 13 2 3 4" xfId="3264" xr:uid="{00000000-0005-0000-0000-000026040000}"/>
    <cellStyle name="Millares 13 2 4" xfId="2079" xr:uid="{00000000-0005-0000-0000-000027040000}"/>
    <cellStyle name="Millares 13 2 4 2" xfId="3661" xr:uid="{00000000-0005-0000-0000-000028040000}"/>
    <cellStyle name="Millares 13 2 5" xfId="1288" xr:uid="{00000000-0005-0000-0000-000029040000}"/>
    <cellStyle name="Millares 13 2 6" xfId="2870" xr:uid="{00000000-0005-0000-0000-00002A040000}"/>
    <cellStyle name="Millares 13 3" xfId="560" xr:uid="{00000000-0005-0000-0000-00002B040000}"/>
    <cellStyle name="Millares 13 3 2" xfId="967" xr:uid="{00000000-0005-0000-0000-00002C040000}"/>
    <cellStyle name="Millares 13 3 2 2" xfId="2550" xr:uid="{00000000-0005-0000-0000-00002D040000}"/>
    <cellStyle name="Millares 13 3 2 2 2" xfId="4132" xr:uid="{00000000-0005-0000-0000-00002E040000}"/>
    <cellStyle name="Millares 13 3 2 3" xfId="1759" xr:uid="{00000000-0005-0000-0000-00002F040000}"/>
    <cellStyle name="Millares 13 3 2 4" xfId="3341" xr:uid="{00000000-0005-0000-0000-000030040000}"/>
    <cellStyle name="Millares 13 3 3" xfId="2156" xr:uid="{00000000-0005-0000-0000-000031040000}"/>
    <cellStyle name="Millares 13 3 3 2" xfId="3738" xr:uid="{00000000-0005-0000-0000-000032040000}"/>
    <cellStyle name="Millares 13 3 4" xfId="1365" xr:uid="{00000000-0005-0000-0000-000033040000}"/>
    <cellStyle name="Millares 13 3 5" xfId="2947" xr:uid="{00000000-0005-0000-0000-000034040000}"/>
    <cellStyle name="Millares 13 4" xfId="635" xr:uid="{00000000-0005-0000-0000-000035040000}"/>
    <cellStyle name="Millares 13 4 2" xfId="1035" xr:uid="{00000000-0005-0000-0000-000036040000}"/>
    <cellStyle name="Millares 13 4 2 2" xfId="2618" xr:uid="{00000000-0005-0000-0000-000037040000}"/>
    <cellStyle name="Millares 13 4 2 2 2" xfId="4200" xr:uid="{00000000-0005-0000-0000-000038040000}"/>
    <cellStyle name="Millares 13 4 2 3" xfId="1827" xr:uid="{00000000-0005-0000-0000-000039040000}"/>
    <cellStyle name="Millares 13 4 2 4" xfId="3409" xr:uid="{00000000-0005-0000-0000-00003A040000}"/>
    <cellStyle name="Millares 13 4 3" xfId="2224" xr:uid="{00000000-0005-0000-0000-00003B040000}"/>
    <cellStyle name="Millares 13 4 3 2" xfId="3806" xr:uid="{00000000-0005-0000-0000-00003C040000}"/>
    <cellStyle name="Millares 13 4 4" xfId="1433" xr:uid="{00000000-0005-0000-0000-00003D040000}"/>
    <cellStyle name="Millares 13 4 5" xfId="3015" xr:uid="{00000000-0005-0000-0000-00003E040000}"/>
    <cellStyle name="Millares 13 5" xfId="814" xr:uid="{00000000-0005-0000-0000-00003F040000}"/>
    <cellStyle name="Millares 13 5 2" xfId="2397" xr:uid="{00000000-0005-0000-0000-000040040000}"/>
    <cellStyle name="Millares 13 5 2 2" xfId="3979" xr:uid="{00000000-0005-0000-0000-000041040000}"/>
    <cellStyle name="Millares 13 5 3" xfId="1606" xr:uid="{00000000-0005-0000-0000-000042040000}"/>
    <cellStyle name="Millares 13 5 4" xfId="3188" xr:uid="{00000000-0005-0000-0000-000043040000}"/>
    <cellStyle name="Millares 13 6" xfId="2003" xr:uid="{00000000-0005-0000-0000-000044040000}"/>
    <cellStyle name="Millares 13 6 2" xfId="3585" xr:uid="{00000000-0005-0000-0000-000045040000}"/>
    <cellStyle name="Millares 13 7" xfId="1212" xr:uid="{00000000-0005-0000-0000-000046040000}"/>
    <cellStyle name="Millares 13 8" xfId="2794" xr:uid="{00000000-0005-0000-0000-000047040000}"/>
    <cellStyle name="Millares 13 9" xfId="4639" xr:uid="{E46CFC3C-84E1-4B66-A92C-00C057845277}"/>
    <cellStyle name="Millares 13 9 2" xfId="5012" xr:uid="{F307AC76-93F1-426D-A3F8-F9F28A1A6055}"/>
    <cellStyle name="Millares 14" xfId="351" xr:uid="{00000000-0005-0000-0000-000048040000}"/>
    <cellStyle name="Millares 14 10" xfId="4404" xr:uid="{58AEC833-17F9-4939-BBEA-358DFF5ACDC1}"/>
    <cellStyle name="Millares 14 2" xfId="472" xr:uid="{00000000-0005-0000-0000-000049040000}"/>
    <cellStyle name="Millares 14 2 2" xfId="700" xr:uid="{00000000-0005-0000-0000-00004A040000}"/>
    <cellStyle name="Millares 14 2 2 2" xfId="1100" xr:uid="{00000000-0005-0000-0000-00004B040000}"/>
    <cellStyle name="Millares 14 2 2 2 2" xfId="2683" xr:uid="{00000000-0005-0000-0000-00004C040000}"/>
    <cellStyle name="Millares 14 2 2 2 2 2" xfId="4265" xr:uid="{00000000-0005-0000-0000-00004D040000}"/>
    <cellStyle name="Millares 14 2 2 2 3" xfId="1892" xr:uid="{00000000-0005-0000-0000-00004E040000}"/>
    <cellStyle name="Millares 14 2 2 2 4" xfId="3474" xr:uid="{00000000-0005-0000-0000-00004F040000}"/>
    <cellStyle name="Millares 14 2 2 3" xfId="2289" xr:uid="{00000000-0005-0000-0000-000050040000}"/>
    <cellStyle name="Millares 14 2 2 3 2" xfId="3871" xr:uid="{00000000-0005-0000-0000-000051040000}"/>
    <cellStyle name="Millares 14 2 2 4" xfId="1498" xr:uid="{00000000-0005-0000-0000-000052040000}"/>
    <cellStyle name="Millares 14 2 2 5" xfId="3080" xr:uid="{00000000-0005-0000-0000-000053040000}"/>
    <cellStyle name="Millares 14 2 3" xfId="879" xr:uid="{00000000-0005-0000-0000-000054040000}"/>
    <cellStyle name="Millares 14 2 3 2" xfId="2462" xr:uid="{00000000-0005-0000-0000-000055040000}"/>
    <cellStyle name="Millares 14 2 3 2 2" xfId="4044" xr:uid="{00000000-0005-0000-0000-000056040000}"/>
    <cellStyle name="Millares 14 2 3 3" xfId="1671" xr:uid="{00000000-0005-0000-0000-000057040000}"/>
    <cellStyle name="Millares 14 2 3 4" xfId="3253" xr:uid="{00000000-0005-0000-0000-000058040000}"/>
    <cellStyle name="Millares 14 2 4" xfId="2068" xr:uid="{00000000-0005-0000-0000-000059040000}"/>
    <cellStyle name="Millares 14 2 4 2" xfId="3650" xr:uid="{00000000-0005-0000-0000-00005A040000}"/>
    <cellStyle name="Millares 14 2 5" xfId="1277" xr:uid="{00000000-0005-0000-0000-00005B040000}"/>
    <cellStyle name="Millares 14 2 6" xfId="2859" xr:uid="{00000000-0005-0000-0000-00005C040000}"/>
    <cellStyle name="Millares 14 3" xfId="549" xr:uid="{00000000-0005-0000-0000-00005D040000}"/>
    <cellStyle name="Millares 14 3 2" xfId="956" xr:uid="{00000000-0005-0000-0000-00005E040000}"/>
    <cellStyle name="Millares 14 3 2 2" xfId="2539" xr:uid="{00000000-0005-0000-0000-00005F040000}"/>
    <cellStyle name="Millares 14 3 2 2 2" xfId="4121" xr:uid="{00000000-0005-0000-0000-000060040000}"/>
    <cellStyle name="Millares 14 3 2 3" xfId="1748" xr:uid="{00000000-0005-0000-0000-000061040000}"/>
    <cellStyle name="Millares 14 3 2 4" xfId="3330" xr:uid="{00000000-0005-0000-0000-000062040000}"/>
    <cellStyle name="Millares 14 3 3" xfId="2145" xr:uid="{00000000-0005-0000-0000-000063040000}"/>
    <cellStyle name="Millares 14 3 3 2" xfId="3727" xr:uid="{00000000-0005-0000-0000-000064040000}"/>
    <cellStyle name="Millares 14 3 4" xfId="1354" xr:uid="{00000000-0005-0000-0000-000065040000}"/>
    <cellStyle name="Millares 14 3 5" xfId="2936" xr:uid="{00000000-0005-0000-0000-000066040000}"/>
    <cellStyle name="Millares 14 4" xfId="624" xr:uid="{00000000-0005-0000-0000-000067040000}"/>
    <cellStyle name="Millares 14 4 2" xfId="1024" xr:uid="{00000000-0005-0000-0000-000068040000}"/>
    <cellStyle name="Millares 14 4 2 2" xfId="2607" xr:uid="{00000000-0005-0000-0000-000069040000}"/>
    <cellStyle name="Millares 14 4 2 2 2" xfId="4189" xr:uid="{00000000-0005-0000-0000-00006A040000}"/>
    <cellStyle name="Millares 14 4 2 3" xfId="1816" xr:uid="{00000000-0005-0000-0000-00006B040000}"/>
    <cellStyle name="Millares 14 4 2 4" xfId="3398" xr:uid="{00000000-0005-0000-0000-00006C040000}"/>
    <cellStyle name="Millares 14 4 3" xfId="2213" xr:uid="{00000000-0005-0000-0000-00006D040000}"/>
    <cellStyle name="Millares 14 4 3 2" xfId="3795" xr:uid="{00000000-0005-0000-0000-00006E040000}"/>
    <cellStyle name="Millares 14 4 4" xfId="1422" xr:uid="{00000000-0005-0000-0000-00006F040000}"/>
    <cellStyle name="Millares 14 4 5" xfId="3004" xr:uid="{00000000-0005-0000-0000-000070040000}"/>
    <cellStyle name="Millares 14 5" xfId="803" xr:uid="{00000000-0005-0000-0000-000071040000}"/>
    <cellStyle name="Millares 14 5 2" xfId="2386" xr:uid="{00000000-0005-0000-0000-000072040000}"/>
    <cellStyle name="Millares 14 5 2 2" xfId="3968" xr:uid="{00000000-0005-0000-0000-000073040000}"/>
    <cellStyle name="Millares 14 5 3" xfId="1595" xr:uid="{00000000-0005-0000-0000-000074040000}"/>
    <cellStyle name="Millares 14 5 4" xfId="3177" xr:uid="{00000000-0005-0000-0000-000075040000}"/>
    <cellStyle name="Millares 14 6" xfId="1992" xr:uid="{00000000-0005-0000-0000-000076040000}"/>
    <cellStyle name="Millares 14 6 2" xfId="3574" xr:uid="{00000000-0005-0000-0000-000077040000}"/>
    <cellStyle name="Millares 14 7" xfId="1201" xr:uid="{00000000-0005-0000-0000-000078040000}"/>
    <cellStyle name="Millares 14 8" xfId="2783" xr:uid="{00000000-0005-0000-0000-000079040000}"/>
    <cellStyle name="Millares 14 9" xfId="4638" xr:uid="{7770D4B0-7438-4538-A6F8-DDB6DD2C99D0}"/>
    <cellStyle name="Millares 14 9 2" xfId="5011" xr:uid="{32D9467C-E72F-4503-AD07-007575B38520}"/>
    <cellStyle name="Millares 15" xfId="435" xr:uid="{00000000-0005-0000-0000-00007A040000}"/>
    <cellStyle name="Millares 15 10" xfId="4420" xr:uid="{FF8E8DB2-CD37-424E-BA40-0511D6858873}"/>
    <cellStyle name="Millares 15 2" xfId="511" xr:uid="{00000000-0005-0000-0000-00007B040000}"/>
    <cellStyle name="Millares 15 2 2" xfId="739" xr:uid="{00000000-0005-0000-0000-00007C040000}"/>
    <cellStyle name="Millares 15 2 2 2" xfId="1139" xr:uid="{00000000-0005-0000-0000-00007D040000}"/>
    <cellStyle name="Millares 15 2 2 2 2" xfId="2722" xr:uid="{00000000-0005-0000-0000-00007E040000}"/>
    <cellStyle name="Millares 15 2 2 2 2 2" xfId="4304" xr:uid="{00000000-0005-0000-0000-00007F040000}"/>
    <cellStyle name="Millares 15 2 2 2 3" xfId="1931" xr:uid="{00000000-0005-0000-0000-000080040000}"/>
    <cellStyle name="Millares 15 2 2 2 4" xfId="3513" xr:uid="{00000000-0005-0000-0000-000081040000}"/>
    <cellStyle name="Millares 15 2 2 3" xfId="2328" xr:uid="{00000000-0005-0000-0000-000082040000}"/>
    <cellStyle name="Millares 15 2 2 3 2" xfId="3910" xr:uid="{00000000-0005-0000-0000-000083040000}"/>
    <cellStyle name="Millares 15 2 2 4" xfId="1537" xr:uid="{00000000-0005-0000-0000-000084040000}"/>
    <cellStyle name="Millares 15 2 2 5" xfId="3119" xr:uid="{00000000-0005-0000-0000-000085040000}"/>
    <cellStyle name="Millares 15 2 3" xfId="918" xr:uid="{00000000-0005-0000-0000-000086040000}"/>
    <cellStyle name="Millares 15 2 3 2" xfId="2501" xr:uid="{00000000-0005-0000-0000-000087040000}"/>
    <cellStyle name="Millares 15 2 3 2 2" xfId="4083" xr:uid="{00000000-0005-0000-0000-000088040000}"/>
    <cellStyle name="Millares 15 2 3 3" xfId="1710" xr:uid="{00000000-0005-0000-0000-000089040000}"/>
    <cellStyle name="Millares 15 2 3 4" xfId="3292" xr:uid="{00000000-0005-0000-0000-00008A040000}"/>
    <cellStyle name="Millares 15 2 4" xfId="2107" xr:uid="{00000000-0005-0000-0000-00008B040000}"/>
    <cellStyle name="Millares 15 2 4 2" xfId="3689" xr:uid="{00000000-0005-0000-0000-00008C040000}"/>
    <cellStyle name="Millares 15 2 5" xfId="1316" xr:uid="{00000000-0005-0000-0000-00008D040000}"/>
    <cellStyle name="Millares 15 2 6" xfId="2898" xr:uid="{00000000-0005-0000-0000-00008E040000}"/>
    <cellStyle name="Millares 15 3" xfId="588" xr:uid="{00000000-0005-0000-0000-00008F040000}"/>
    <cellStyle name="Millares 15 3 2" xfId="995" xr:uid="{00000000-0005-0000-0000-000090040000}"/>
    <cellStyle name="Millares 15 3 2 2" xfId="2578" xr:uid="{00000000-0005-0000-0000-000091040000}"/>
    <cellStyle name="Millares 15 3 2 2 2" xfId="4160" xr:uid="{00000000-0005-0000-0000-000092040000}"/>
    <cellStyle name="Millares 15 3 2 3" xfId="1787" xr:uid="{00000000-0005-0000-0000-000093040000}"/>
    <cellStyle name="Millares 15 3 2 4" xfId="3369" xr:uid="{00000000-0005-0000-0000-000094040000}"/>
    <cellStyle name="Millares 15 3 3" xfId="2184" xr:uid="{00000000-0005-0000-0000-000095040000}"/>
    <cellStyle name="Millares 15 3 3 2" xfId="3766" xr:uid="{00000000-0005-0000-0000-000096040000}"/>
    <cellStyle name="Millares 15 3 4" xfId="1393" xr:uid="{00000000-0005-0000-0000-000097040000}"/>
    <cellStyle name="Millares 15 3 5" xfId="2975" xr:uid="{00000000-0005-0000-0000-000098040000}"/>
    <cellStyle name="Millares 15 4" xfId="663" xr:uid="{00000000-0005-0000-0000-000099040000}"/>
    <cellStyle name="Millares 15 4 2" xfId="1063" xr:uid="{00000000-0005-0000-0000-00009A040000}"/>
    <cellStyle name="Millares 15 4 2 2" xfId="2646" xr:uid="{00000000-0005-0000-0000-00009B040000}"/>
    <cellStyle name="Millares 15 4 2 2 2" xfId="4228" xr:uid="{00000000-0005-0000-0000-00009C040000}"/>
    <cellStyle name="Millares 15 4 2 3" xfId="1855" xr:uid="{00000000-0005-0000-0000-00009D040000}"/>
    <cellStyle name="Millares 15 4 2 4" xfId="3437" xr:uid="{00000000-0005-0000-0000-00009E040000}"/>
    <cellStyle name="Millares 15 4 3" xfId="2252" xr:uid="{00000000-0005-0000-0000-00009F040000}"/>
    <cellStyle name="Millares 15 4 3 2" xfId="3834" xr:uid="{00000000-0005-0000-0000-0000A0040000}"/>
    <cellStyle name="Millares 15 4 4" xfId="1461" xr:uid="{00000000-0005-0000-0000-0000A1040000}"/>
    <cellStyle name="Millares 15 4 5" xfId="3043" xr:uid="{00000000-0005-0000-0000-0000A2040000}"/>
    <cellStyle name="Millares 15 5" xfId="842" xr:uid="{00000000-0005-0000-0000-0000A3040000}"/>
    <cellStyle name="Millares 15 5 2" xfId="2425" xr:uid="{00000000-0005-0000-0000-0000A4040000}"/>
    <cellStyle name="Millares 15 5 2 2" xfId="4007" xr:uid="{00000000-0005-0000-0000-0000A5040000}"/>
    <cellStyle name="Millares 15 5 3" xfId="1634" xr:uid="{00000000-0005-0000-0000-0000A6040000}"/>
    <cellStyle name="Millares 15 5 4" xfId="3216" xr:uid="{00000000-0005-0000-0000-0000A7040000}"/>
    <cellStyle name="Millares 15 6" xfId="2031" xr:uid="{00000000-0005-0000-0000-0000A8040000}"/>
    <cellStyle name="Millares 15 6 2" xfId="3613" xr:uid="{00000000-0005-0000-0000-0000A9040000}"/>
    <cellStyle name="Millares 15 7" xfId="1240" xr:uid="{00000000-0005-0000-0000-0000AA040000}"/>
    <cellStyle name="Millares 15 8" xfId="2822" xr:uid="{00000000-0005-0000-0000-0000AB040000}"/>
    <cellStyle name="Millares 15 9" xfId="4652" xr:uid="{76EAEAD9-44A7-4BDB-9893-3B84B7C4272B}"/>
    <cellStyle name="Millares 15 9 2" xfId="5025" xr:uid="{69D92D39-4799-4E06-A97C-8BA813BBA43E}"/>
    <cellStyle name="Millares 16" xfId="369" xr:uid="{00000000-0005-0000-0000-0000AC040000}"/>
    <cellStyle name="Millares 16 10" xfId="4628" xr:uid="{8D66F296-B01E-4AE1-B35A-543F068DCB04}"/>
    <cellStyle name="Millares 16 10 2" xfId="5004" xr:uid="{D8E95B52-AA05-4D1D-925B-ED6D32F920F6}"/>
    <cellStyle name="Millares 16 11" xfId="4391" xr:uid="{14608148-DA5A-41D2-BE3E-850E2AE37F58}"/>
    <cellStyle name="Millares 16 2" xfId="487" xr:uid="{00000000-0005-0000-0000-0000AD040000}"/>
    <cellStyle name="Millares 16 2 2" xfId="715" xr:uid="{00000000-0005-0000-0000-0000AE040000}"/>
    <cellStyle name="Millares 16 2 2 2" xfId="1115" xr:uid="{00000000-0005-0000-0000-0000AF040000}"/>
    <cellStyle name="Millares 16 2 2 2 2" xfId="2698" xr:uid="{00000000-0005-0000-0000-0000B0040000}"/>
    <cellStyle name="Millares 16 2 2 2 2 2" xfId="4280" xr:uid="{00000000-0005-0000-0000-0000B1040000}"/>
    <cellStyle name="Millares 16 2 2 2 3" xfId="1907" xr:uid="{00000000-0005-0000-0000-0000B2040000}"/>
    <cellStyle name="Millares 16 2 2 2 4" xfId="3489" xr:uid="{00000000-0005-0000-0000-0000B3040000}"/>
    <cellStyle name="Millares 16 2 2 2 5" xfId="4568" xr:uid="{0E1B538D-479D-4F31-A94D-9ECB28C9138C}"/>
    <cellStyle name="Millares 16 2 2 2 6" xfId="4468" xr:uid="{B834CF4C-6811-4C07-B85E-C1E2F984E36F}"/>
    <cellStyle name="Millares 16 2 2 3" xfId="2304" xr:uid="{00000000-0005-0000-0000-0000B4040000}"/>
    <cellStyle name="Millares 16 2 2 3 2" xfId="3886" xr:uid="{00000000-0005-0000-0000-0000B5040000}"/>
    <cellStyle name="Millares 16 2 2 4" xfId="1513" xr:uid="{00000000-0005-0000-0000-0000B6040000}"/>
    <cellStyle name="Millares 16 2 2 5" xfId="3095" xr:uid="{00000000-0005-0000-0000-0000B7040000}"/>
    <cellStyle name="Millares 16 2 2 6" xfId="4569" xr:uid="{269A4DD7-500E-4656-8359-736C54338EC3}"/>
    <cellStyle name="Millares 16 2 2 7" xfId="4442" xr:uid="{40BEE368-C203-4ED8-9A9F-96C18D2C1BC3}"/>
    <cellStyle name="Millares 16 2 3" xfId="894" xr:uid="{00000000-0005-0000-0000-0000B8040000}"/>
    <cellStyle name="Millares 16 2 3 2" xfId="2477" xr:uid="{00000000-0005-0000-0000-0000B9040000}"/>
    <cellStyle name="Millares 16 2 3 2 2" xfId="4059" xr:uid="{00000000-0005-0000-0000-0000BA040000}"/>
    <cellStyle name="Millares 16 2 3 3" xfId="1686" xr:uid="{00000000-0005-0000-0000-0000BB040000}"/>
    <cellStyle name="Millares 16 2 3 4" xfId="3268" xr:uid="{00000000-0005-0000-0000-0000BC040000}"/>
    <cellStyle name="Millares 16 2 4" xfId="2083" xr:uid="{00000000-0005-0000-0000-0000BD040000}"/>
    <cellStyle name="Millares 16 2 4 2" xfId="3665" xr:uid="{00000000-0005-0000-0000-0000BE040000}"/>
    <cellStyle name="Millares 16 2 5" xfId="1292" xr:uid="{00000000-0005-0000-0000-0000BF040000}"/>
    <cellStyle name="Millares 16 2 6" xfId="2874" xr:uid="{00000000-0005-0000-0000-0000C0040000}"/>
    <cellStyle name="Millares 16 2 7" xfId="4570" xr:uid="{E3779DDA-AE74-4FED-A64C-8D8E8ACA537C}"/>
    <cellStyle name="Millares 16 2 8" xfId="4650" xr:uid="{04097B6A-7FBF-43C2-850E-E0D5AF64DC2F}"/>
    <cellStyle name="Millares 16 2 8 2" xfId="5023" xr:uid="{1FDD74C4-DA19-44B2-8807-6C9B4B04B624}"/>
    <cellStyle name="Millares 16 2 9" xfId="4418" xr:uid="{BB2BCC30-5E5E-424F-89E3-7372FFB60D75}"/>
    <cellStyle name="Millares 16 3" xfId="564" xr:uid="{00000000-0005-0000-0000-0000C1040000}"/>
    <cellStyle name="Millares 16 3 2" xfId="971" xr:uid="{00000000-0005-0000-0000-0000C2040000}"/>
    <cellStyle name="Millares 16 3 2 2" xfId="2554" xr:uid="{00000000-0005-0000-0000-0000C3040000}"/>
    <cellStyle name="Millares 16 3 2 2 2" xfId="4136" xr:uid="{00000000-0005-0000-0000-0000C4040000}"/>
    <cellStyle name="Millares 16 3 2 3" xfId="1763" xr:uid="{00000000-0005-0000-0000-0000C5040000}"/>
    <cellStyle name="Millares 16 3 2 4" xfId="3345" xr:uid="{00000000-0005-0000-0000-0000C6040000}"/>
    <cellStyle name="Millares 16 3 2 5" xfId="4571" xr:uid="{8DEDF3A1-0FA7-43D0-8DE3-4B723B9C68BA}"/>
    <cellStyle name="Millares 16 3 2 6" xfId="4461" xr:uid="{15CE6F74-57B6-4C07-8546-F9330A0B445D}"/>
    <cellStyle name="Millares 16 3 3" xfId="2160" xr:uid="{00000000-0005-0000-0000-0000C7040000}"/>
    <cellStyle name="Millares 16 3 3 2" xfId="3742" xr:uid="{00000000-0005-0000-0000-0000C8040000}"/>
    <cellStyle name="Millares 16 3 4" xfId="1369" xr:uid="{00000000-0005-0000-0000-0000C9040000}"/>
    <cellStyle name="Millares 16 3 5" xfId="2951" xr:uid="{00000000-0005-0000-0000-0000CA040000}"/>
    <cellStyle name="Millares 16 3 6" xfId="4572" xr:uid="{4A31FEE8-025A-4FF3-9BDF-F56023A4C559}"/>
    <cellStyle name="Millares 16 3 7" xfId="4433" xr:uid="{0F4673A2-D973-4D5D-B869-7F65B5C5E811}"/>
    <cellStyle name="Millares 16 4" xfId="639" xr:uid="{00000000-0005-0000-0000-0000CB040000}"/>
    <cellStyle name="Millares 16 4 2" xfId="1039" xr:uid="{00000000-0005-0000-0000-0000CC040000}"/>
    <cellStyle name="Millares 16 4 2 2" xfId="2622" xr:uid="{00000000-0005-0000-0000-0000CD040000}"/>
    <cellStyle name="Millares 16 4 2 2 2" xfId="4204" xr:uid="{00000000-0005-0000-0000-0000CE040000}"/>
    <cellStyle name="Millares 16 4 2 3" xfId="1831" xr:uid="{00000000-0005-0000-0000-0000CF040000}"/>
    <cellStyle name="Millares 16 4 2 4" xfId="3413" xr:uid="{00000000-0005-0000-0000-0000D0040000}"/>
    <cellStyle name="Millares 16 4 3" xfId="2228" xr:uid="{00000000-0005-0000-0000-0000D1040000}"/>
    <cellStyle name="Millares 16 4 3 2" xfId="3810" xr:uid="{00000000-0005-0000-0000-0000D2040000}"/>
    <cellStyle name="Millares 16 4 4" xfId="1437" xr:uid="{00000000-0005-0000-0000-0000D3040000}"/>
    <cellStyle name="Millares 16 4 5" xfId="3019" xr:uid="{00000000-0005-0000-0000-0000D4040000}"/>
    <cellStyle name="Millares 16 5" xfId="818" xr:uid="{00000000-0005-0000-0000-0000D5040000}"/>
    <cellStyle name="Millares 16 5 2" xfId="2401" xr:uid="{00000000-0005-0000-0000-0000D6040000}"/>
    <cellStyle name="Millares 16 5 2 2" xfId="3983" xr:uid="{00000000-0005-0000-0000-0000D7040000}"/>
    <cellStyle name="Millares 16 5 3" xfId="1610" xr:uid="{00000000-0005-0000-0000-0000D8040000}"/>
    <cellStyle name="Millares 16 5 4" xfId="3192" xr:uid="{00000000-0005-0000-0000-0000D9040000}"/>
    <cellStyle name="Millares 16 6" xfId="2007" xr:uid="{00000000-0005-0000-0000-0000DA040000}"/>
    <cellStyle name="Millares 16 6 2" xfId="3589" xr:uid="{00000000-0005-0000-0000-0000DB040000}"/>
    <cellStyle name="Millares 16 7" xfId="1216" xr:uid="{00000000-0005-0000-0000-0000DC040000}"/>
    <cellStyle name="Millares 16 8" xfId="2798" xr:uid="{00000000-0005-0000-0000-0000DD040000}"/>
    <cellStyle name="Millares 16 9" xfId="4573" xr:uid="{6A1608C1-5F1F-43E1-924D-7D757F6C3AF2}"/>
    <cellStyle name="Millares 17" xfId="353" xr:uid="{00000000-0005-0000-0000-0000DE040000}"/>
    <cellStyle name="Millares 17 10" xfId="4413" xr:uid="{253C0ACB-CC17-4FA4-BE1B-2028A6D65899}"/>
    <cellStyle name="Millares 17 2" xfId="474" xr:uid="{00000000-0005-0000-0000-0000DF040000}"/>
    <cellStyle name="Millares 17 2 2" xfId="702" xr:uid="{00000000-0005-0000-0000-0000E0040000}"/>
    <cellStyle name="Millares 17 2 2 2" xfId="1102" xr:uid="{00000000-0005-0000-0000-0000E1040000}"/>
    <cellStyle name="Millares 17 2 2 2 2" xfId="2685" xr:uid="{00000000-0005-0000-0000-0000E2040000}"/>
    <cellStyle name="Millares 17 2 2 2 2 2" xfId="4267" xr:uid="{00000000-0005-0000-0000-0000E3040000}"/>
    <cellStyle name="Millares 17 2 2 2 3" xfId="1894" xr:uid="{00000000-0005-0000-0000-0000E4040000}"/>
    <cellStyle name="Millares 17 2 2 2 4" xfId="3476" xr:uid="{00000000-0005-0000-0000-0000E5040000}"/>
    <cellStyle name="Millares 17 2 2 3" xfId="2291" xr:uid="{00000000-0005-0000-0000-0000E6040000}"/>
    <cellStyle name="Millares 17 2 2 3 2" xfId="3873" xr:uid="{00000000-0005-0000-0000-0000E7040000}"/>
    <cellStyle name="Millares 17 2 2 4" xfId="1500" xr:uid="{00000000-0005-0000-0000-0000E8040000}"/>
    <cellStyle name="Millares 17 2 2 5" xfId="3082" xr:uid="{00000000-0005-0000-0000-0000E9040000}"/>
    <cellStyle name="Millares 17 2 3" xfId="881" xr:uid="{00000000-0005-0000-0000-0000EA040000}"/>
    <cellStyle name="Millares 17 2 3 2" xfId="2464" xr:uid="{00000000-0005-0000-0000-0000EB040000}"/>
    <cellStyle name="Millares 17 2 3 2 2" xfId="4046" xr:uid="{00000000-0005-0000-0000-0000EC040000}"/>
    <cellStyle name="Millares 17 2 3 3" xfId="1673" xr:uid="{00000000-0005-0000-0000-0000ED040000}"/>
    <cellStyle name="Millares 17 2 3 4" xfId="3255" xr:uid="{00000000-0005-0000-0000-0000EE040000}"/>
    <cellStyle name="Millares 17 2 4" xfId="2070" xr:uid="{00000000-0005-0000-0000-0000EF040000}"/>
    <cellStyle name="Millares 17 2 4 2" xfId="3652" xr:uid="{00000000-0005-0000-0000-0000F0040000}"/>
    <cellStyle name="Millares 17 2 5" xfId="1279" xr:uid="{00000000-0005-0000-0000-0000F1040000}"/>
    <cellStyle name="Millares 17 2 6" xfId="2861" xr:uid="{00000000-0005-0000-0000-0000F2040000}"/>
    <cellStyle name="Millares 17 3" xfId="551" xr:uid="{00000000-0005-0000-0000-0000F3040000}"/>
    <cellStyle name="Millares 17 3 2" xfId="958" xr:uid="{00000000-0005-0000-0000-0000F4040000}"/>
    <cellStyle name="Millares 17 3 2 2" xfId="2541" xr:uid="{00000000-0005-0000-0000-0000F5040000}"/>
    <cellStyle name="Millares 17 3 2 2 2" xfId="4123" xr:uid="{00000000-0005-0000-0000-0000F6040000}"/>
    <cellStyle name="Millares 17 3 2 3" xfId="1750" xr:uid="{00000000-0005-0000-0000-0000F7040000}"/>
    <cellStyle name="Millares 17 3 2 4" xfId="3332" xr:uid="{00000000-0005-0000-0000-0000F8040000}"/>
    <cellStyle name="Millares 17 3 3" xfId="2147" xr:uid="{00000000-0005-0000-0000-0000F9040000}"/>
    <cellStyle name="Millares 17 3 3 2" xfId="3729" xr:uid="{00000000-0005-0000-0000-0000FA040000}"/>
    <cellStyle name="Millares 17 3 4" xfId="1356" xr:uid="{00000000-0005-0000-0000-0000FB040000}"/>
    <cellStyle name="Millares 17 3 5" xfId="2938" xr:uid="{00000000-0005-0000-0000-0000FC040000}"/>
    <cellStyle name="Millares 17 4" xfId="626" xr:uid="{00000000-0005-0000-0000-0000FD040000}"/>
    <cellStyle name="Millares 17 4 2" xfId="1026" xr:uid="{00000000-0005-0000-0000-0000FE040000}"/>
    <cellStyle name="Millares 17 4 2 2" xfId="2609" xr:uid="{00000000-0005-0000-0000-0000FF040000}"/>
    <cellStyle name="Millares 17 4 2 2 2" xfId="4191" xr:uid="{00000000-0005-0000-0000-000000050000}"/>
    <cellStyle name="Millares 17 4 2 3" xfId="1818" xr:uid="{00000000-0005-0000-0000-000001050000}"/>
    <cellStyle name="Millares 17 4 2 4" xfId="3400" xr:uid="{00000000-0005-0000-0000-000002050000}"/>
    <cellStyle name="Millares 17 4 3" xfId="2215" xr:uid="{00000000-0005-0000-0000-000003050000}"/>
    <cellStyle name="Millares 17 4 3 2" xfId="3797" xr:uid="{00000000-0005-0000-0000-000004050000}"/>
    <cellStyle name="Millares 17 4 4" xfId="1424" xr:uid="{00000000-0005-0000-0000-000005050000}"/>
    <cellStyle name="Millares 17 4 5" xfId="3006" xr:uid="{00000000-0005-0000-0000-000006050000}"/>
    <cellStyle name="Millares 17 5" xfId="805" xr:uid="{00000000-0005-0000-0000-000007050000}"/>
    <cellStyle name="Millares 17 5 2" xfId="2388" xr:uid="{00000000-0005-0000-0000-000008050000}"/>
    <cellStyle name="Millares 17 5 2 2" xfId="3970" xr:uid="{00000000-0005-0000-0000-000009050000}"/>
    <cellStyle name="Millares 17 5 3" xfId="1597" xr:uid="{00000000-0005-0000-0000-00000A050000}"/>
    <cellStyle name="Millares 17 5 4" xfId="3179" xr:uid="{00000000-0005-0000-0000-00000B050000}"/>
    <cellStyle name="Millares 17 6" xfId="1994" xr:uid="{00000000-0005-0000-0000-00000C050000}"/>
    <cellStyle name="Millares 17 6 2" xfId="3576" xr:uid="{00000000-0005-0000-0000-00000D050000}"/>
    <cellStyle name="Millares 17 7" xfId="1203" xr:uid="{00000000-0005-0000-0000-00000E050000}"/>
    <cellStyle name="Millares 17 8" xfId="2785" xr:uid="{00000000-0005-0000-0000-00000F050000}"/>
    <cellStyle name="Millares 17 9" xfId="4646" xr:uid="{DF564CA2-CCD5-441D-A7B5-99A4BFBEBC3B}"/>
    <cellStyle name="Millares 17 9 2" xfId="5019" xr:uid="{44B20992-4F10-4EC6-B338-53E88A0CA2C0}"/>
    <cellStyle name="Millares 18" xfId="432" xr:uid="{00000000-0005-0000-0000-000010050000}"/>
    <cellStyle name="Millares 18 10" xfId="4425" xr:uid="{4DF36861-8E52-4C44-B155-150549510380}"/>
    <cellStyle name="Millares 18 2" xfId="508" xr:uid="{00000000-0005-0000-0000-000011050000}"/>
    <cellStyle name="Millares 18 2 2" xfId="736" xr:uid="{00000000-0005-0000-0000-000012050000}"/>
    <cellStyle name="Millares 18 2 2 2" xfId="1136" xr:uid="{00000000-0005-0000-0000-000013050000}"/>
    <cellStyle name="Millares 18 2 2 2 2" xfId="2719" xr:uid="{00000000-0005-0000-0000-000014050000}"/>
    <cellStyle name="Millares 18 2 2 2 2 2" xfId="4301" xr:uid="{00000000-0005-0000-0000-000015050000}"/>
    <cellStyle name="Millares 18 2 2 2 3" xfId="1928" xr:uid="{00000000-0005-0000-0000-000016050000}"/>
    <cellStyle name="Millares 18 2 2 2 4" xfId="3510" xr:uid="{00000000-0005-0000-0000-000017050000}"/>
    <cellStyle name="Millares 18 2 2 3" xfId="2325" xr:uid="{00000000-0005-0000-0000-000018050000}"/>
    <cellStyle name="Millares 18 2 2 3 2" xfId="3907" xr:uid="{00000000-0005-0000-0000-000019050000}"/>
    <cellStyle name="Millares 18 2 2 4" xfId="1534" xr:uid="{00000000-0005-0000-0000-00001A050000}"/>
    <cellStyle name="Millares 18 2 2 5" xfId="3116" xr:uid="{00000000-0005-0000-0000-00001B050000}"/>
    <cellStyle name="Millares 18 2 3" xfId="915" xr:uid="{00000000-0005-0000-0000-00001C050000}"/>
    <cellStyle name="Millares 18 2 3 2" xfId="2498" xr:uid="{00000000-0005-0000-0000-00001D050000}"/>
    <cellStyle name="Millares 18 2 3 2 2" xfId="4080" xr:uid="{00000000-0005-0000-0000-00001E050000}"/>
    <cellStyle name="Millares 18 2 3 3" xfId="1707" xr:uid="{00000000-0005-0000-0000-00001F050000}"/>
    <cellStyle name="Millares 18 2 3 4" xfId="3289" xr:uid="{00000000-0005-0000-0000-000020050000}"/>
    <cellStyle name="Millares 18 2 4" xfId="2104" xr:uid="{00000000-0005-0000-0000-000021050000}"/>
    <cellStyle name="Millares 18 2 4 2" xfId="3686" xr:uid="{00000000-0005-0000-0000-000022050000}"/>
    <cellStyle name="Millares 18 2 5" xfId="1313" xr:uid="{00000000-0005-0000-0000-000023050000}"/>
    <cellStyle name="Millares 18 2 6" xfId="2895" xr:uid="{00000000-0005-0000-0000-000024050000}"/>
    <cellStyle name="Millares 18 3" xfId="585" xr:uid="{00000000-0005-0000-0000-000025050000}"/>
    <cellStyle name="Millares 18 3 2" xfId="992" xr:uid="{00000000-0005-0000-0000-000026050000}"/>
    <cellStyle name="Millares 18 3 2 2" xfId="2575" xr:uid="{00000000-0005-0000-0000-000027050000}"/>
    <cellStyle name="Millares 18 3 2 2 2" xfId="4157" xr:uid="{00000000-0005-0000-0000-000028050000}"/>
    <cellStyle name="Millares 18 3 2 3" xfId="1784" xr:uid="{00000000-0005-0000-0000-000029050000}"/>
    <cellStyle name="Millares 18 3 2 4" xfId="3366" xr:uid="{00000000-0005-0000-0000-00002A050000}"/>
    <cellStyle name="Millares 18 3 3" xfId="2181" xr:uid="{00000000-0005-0000-0000-00002B050000}"/>
    <cellStyle name="Millares 18 3 3 2" xfId="3763" xr:uid="{00000000-0005-0000-0000-00002C050000}"/>
    <cellStyle name="Millares 18 3 4" xfId="1390" xr:uid="{00000000-0005-0000-0000-00002D050000}"/>
    <cellStyle name="Millares 18 3 5" xfId="2972" xr:uid="{00000000-0005-0000-0000-00002E050000}"/>
    <cellStyle name="Millares 18 4" xfId="660" xr:uid="{00000000-0005-0000-0000-00002F050000}"/>
    <cellStyle name="Millares 18 4 2" xfId="1060" xr:uid="{00000000-0005-0000-0000-000030050000}"/>
    <cellStyle name="Millares 18 4 2 2" xfId="2643" xr:uid="{00000000-0005-0000-0000-000031050000}"/>
    <cellStyle name="Millares 18 4 2 2 2" xfId="4225" xr:uid="{00000000-0005-0000-0000-000032050000}"/>
    <cellStyle name="Millares 18 4 2 3" xfId="1852" xr:uid="{00000000-0005-0000-0000-000033050000}"/>
    <cellStyle name="Millares 18 4 2 4" xfId="3434" xr:uid="{00000000-0005-0000-0000-000034050000}"/>
    <cellStyle name="Millares 18 4 3" xfId="2249" xr:uid="{00000000-0005-0000-0000-000035050000}"/>
    <cellStyle name="Millares 18 4 3 2" xfId="3831" xr:uid="{00000000-0005-0000-0000-000036050000}"/>
    <cellStyle name="Millares 18 4 4" xfId="1458" xr:uid="{00000000-0005-0000-0000-000037050000}"/>
    <cellStyle name="Millares 18 4 5" xfId="3040" xr:uid="{00000000-0005-0000-0000-000038050000}"/>
    <cellStyle name="Millares 18 5" xfId="839" xr:uid="{00000000-0005-0000-0000-000039050000}"/>
    <cellStyle name="Millares 18 5 2" xfId="2422" xr:uid="{00000000-0005-0000-0000-00003A050000}"/>
    <cellStyle name="Millares 18 5 2 2" xfId="4004" xr:uid="{00000000-0005-0000-0000-00003B050000}"/>
    <cellStyle name="Millares 18 5 3" xfId="1631" xr:uid="{00000000-0005-0000-0000-00003C050000}"/>
    <cellStyle name="Millares 18 5 4" xfId="3213" xr:uid="{00000000-0005-0000-0000-00003D050000}"/>
    <cellStyle name="Millares 18 6" xfId="2028" xr:uid="{00000000-0005-0000-0000-00003E050000}"/>
    <cellStyle name="Millares 18 6 2" xfId="3610" xr:uid="{00000000-0005-0000-0000-00003F050000}"/>
    <cellStyle name="Millares 18 7" xfId="1237" xr:uid="{00000000-0005-0000-0000-000040050000}"/>
    <cellStyle name="Millares 18 8" xfId="2819" xr:uid="{00000000-0005-0000-0000-000041050000}"/>
    <cellStyle name="Millares 18 9" xfId="4656" xr:uid="{0BC4C682-D516-4915-A008-970D06D219DE}"/>
    <cellStyle name="Millares 18 9 2" xfId="5028" xr:uid="{CC8E614B-D6DF-402A-B2B0-12ABC150FD50}"/>
    <cellStyle name="Millares 19" xfId="366" xr:uid="{00000000-0005-0000-0000-000042050000}"/>
    <cellStyle name="Millares 19 10" xfId="4397" xr:uid="{0DA6B6A2-4BAB-45CC-AB12-174361DBD708}"/>
    <cellStyle name="Millares 19 2" xfId="484" xr:uid="{00000000-0005-0000-0000-000043050000}"/>
    <cellStyle name="Millares 19 2 2" xfId="712" xr:uid="{00000000-0005-0000-0000-000044050000}"/>
    <cellStyle name="Millares 19 2 2 2" xfId="1112" xr:uid="{00000000-0005-0000-0000-000045050000}"/>
    <cellStyle name="Millares 19 2 2 2 2" xfId="2695" xr:uid="{00000000-0005-0000-0000-000046050000}"/>
    <cellStyle name="Millares 19 2 2 2 2 2" xfId="4277" xr:uid="{00000000-0005-0000-0000-000047050000}"/>
    <cellStyle name="Millares 19 2 2 2 3" xfId="1904" xr:uid="{00000000-0005-0000-0000-000048050000}"/>
    <cellStyle name="Millares 19 2 2 2 4" xfId="3486" xr:uid="{00000000-0005-0000-0000-000049050000}"/>
    <cellStyle name="Millares 19 2 2 3" xfId="2301" xr:uid="{00000000-0005-0000-0000-00004A050000}"/>
    <cellStyle name="Millares 19 2 2 3 2" xfId="3883" xr:uid="{00000000-0005-0000-0000-00004B050000}"/>
    <cellStyle name="Millares 19 2 2 4" xfId="1510" xr:uid="{00000000-0005-0000-0000-00004C050000}"/>
    <cellStyle name="Millares 19 2 2 5" xfId="3092" xr:uid="{00000000-0005-0000-0000-00004D050000}"/>
    <cellStyle name="Millares 19 2 3" xfId="891" xr:uid="{00000000-0005-0000-0000-00004E050000}"/>
    <cellStyle name="Millares 19 2 3 2" xfId="2474" xr:uid="{00000000-0005-0000-0000-00004F050000}"/>
    <cellStyle name="Millares 19 2 3 2 2" xfId="4056" xr:uid="{00000000-0005-0000-0000-000050050000}"/>
    <cellStyle name="Millares 19 2 3 3" xfId="1683" xr:uid="{00000000-0005-0000-0000-000051050000}"/>
    <cellStyle name="Millares 19 2 3 4" xfId="3265" xr:uid="{00000000-0005-0000-0000-000052050000}"/>
    <cellStyle name="Millares 19 2 4" xfId="2080" xr:uid="{00000000-0005-0000-0000-000053050000}"/>
    <cellStyle name="Millares 19 2 4 2" xfId="3662" xr:uid="{00000000-0005-0000-0000-000054050000}"/>
    <cellStyle name="Millares 19 2 5" xfId="1289" xr:uid="{00000000-0005-0000-0000-000055050000}"/>
    <cellStyle name="Millares 19 2 6" xfId="2871" xr:uid="{00000000-0005-0000-0000-000056050000}"/>
    <cellStyle name="Millares 19 3" xfId="561" xr:uid="{00000000-0005-0000-0000-000057050000}"/>
    <cellStyle name="Millares 19 3 2" xfId="968" xr:uid="{00000000-0005-0000-0000-000058050000}"/>
    <cellStyle name="Millares 19 3 2 2" xfId="2551" xr:uid="{00000000-0005-0000-0000-000059050000}"/>
    <cellStyle name="Millares 19 3 2 2 2" xfId="4133" xr:uid="{00000000-0005-0000-0000-00005A050000}"/>
    <cellStyle name="Millares 19 3 2 3" xfId="1760" xr:uid="{00000000-0005-0000-0000-00005B050000}"/>
    <cellStyle name="Millares 19 3 2 4" xfId="3342" xr:uid="{00000000-0005-0000-0000-00005C050000}"/>
    <cellStyle name="Millares 19 3 3" xfId="2157" xr:uid="{00000000-0005-0000-0000-00005D050000}"/>
    <cellStyle name="Millares 19 3 3 2" xfId="3739" xr:uid="{00000000-0005-0000-0000-00005E050000}"/>
    <cellStyle name="Millares 19 3 4" xfId="1366" xr:uid="{00000000-0005-0000-0000-00005F050000}"/>
    <cellStyle name="Millares 19 3 5" xfId="2948" xr:uid="{00000000-0005-0000-0000-000060050000}"/>
    <cellStyle name="Millares 19 4" xfId="636" xr:uid="{00000000-0005-0000-0000-000061050000}"/>
    <cellStyle name="Millares 19 4 2" xfId="1036" xr:uid="{00000000-0005-0000-0000-000062050000}"/>
    <cellStyle name="Millares 19 4 2 2" xfId="2619" xr:uid="{00000000-0005-0000-0000-000063050000}"/>
    <cellStyle name="Millares 19 4 2 2 2" xfId="4201" xr:uid="{00000000-0005-0000-0000-000064050000}"/>
    <cellStyle name="Millares 19 4 2 3" xfId="1828" xr:uid="{00000000-0005-0000-0000-000065050000}"/>
    <cellStyle name="Millares 19 4 2 4" xfId="3410" xr:uid="{00000000-0005-0000-0000-000066050000}"/>
    <cellStyle name="Millares 19 4 3" xfId="2225" xr:uid="{00000000-0005-0000-0000-000067050000}"/>
    <cellStyle name="Millares 19 4 3 2" xfId="3807" xr:uid="{00000000-0005-0000-0000-000068050000}"/>
    <cellStyle name="Millares 19 4 4" xfId="1434" xr:uid="{00000000-0005-0000-0000-000069050000}"/>
    <cellStyle name="Millares 19 4 5" xfId="3016" xr:uid="{00000000-0005-0000-0000-00006A050000}"/>
    <cellStyle name="Millares 19 5" xfId="815" xr:uid="{00000000-0005-0000-0000-00006B050000}"/>
    <cellStyle name="Millares 19 5 2" xfId="2398" xr:uid="{00000000-0005-0000-0000-00006C050000}"/>
    <cellStyle name="Millares 19 5 2 2" xfId="3980" xr:uid="{00000000-0005-0000-0000-00006D050000}"/>
    <cellStyle name="Millares 19 5 3" xfId="1607" xr:uid="{00000000-0005-0000-0000-00006E050000}"/>
    <cellStyle name="Millares 19 5 4" xfId="3189" xr:uid="{00000000-0005-0000-0000-00006F050000}"/>
    <cellStyle name="Millares 19 6" xfId="2004" xr:uid="{00000000-0005-0000-0000-000070050000}"/>
    <cellStyle name="Millares 19 6 2" xfId="3586" xr:uid="{00000000-0005-0000-0000-000071050000}"/>
    <cellStyle name="Millares 19 7" xfId="1213" xr:uid="{00000000-0005-0000-0000-000072050000}"/>
    <cellStyle name="Millares 19 8" xfId="2795" xr:uid="{00000000-0005-0000-0000-000073050000}"/>
    <cellStyle name="Millares 19 9" xfId="4631" xr:uid="{9E38764F-A18F-4B9D-9569-E93FDBAA03F6}"/>
    <cellStyle name="Millares 19 9 2" xfId="5007" xr:uid="{8B81E9A7-7FE2-4915-8A36-F7218D559194}"/>
    <cellStyle name="Millares 2" xfId="11" xr:uid="{00000000-0005-0000-0000-000074050000}"/>
    <cellStyle name="Millares 2 2" xfId="290" xr:uid="{00000000-0005-0000-0000-000075050000}"/>
    <cellStyle name="Millares 2 2 2" xfId="21" xr:uid="{00000000-0005-0000-0000-000076050000}"/>
    <cellStyle name="Millares 2 2 2 2" xfId="341" xr:uid="{00000000-0005-0000-0000-000077050000}"/>
    <cellStyle name="Millares 2 2 2 2 2" xfId="427" xr:uid="{00000000-0005-0000-0000-000078050000}"/>
    <cellStyle name="Millares 2 2 2 2 2 2" xfId="4464" xr:uid="{1F44A6D0-519D-4A33-BF7F-E6C5A16A4719}"/>
    <cellStyle name="Millares 2 2 2 2 2 3" xfId="4574" xr:uid="{351C7F2E-DEDE-4030-81C5-200798C08904}"/>
    <cellStyle name="Millares 2 2 2 2 2 3 2" xfId="4769" xr:uid="{0E73727A-DC4D-4652-86ED-DFAB461731CE}"/>
    <cellStyle name="Millares 2 2 2 2 2 3 2 2" xfId="5082" xr:uid="{594E832B-EFAA-45D0-91FD-5967CACAF252}"/>
    <cellStyle name="Millares 2 2 2 2 2 3 3" xfId="4876" xr:uid="{FC9FD5E4-2D4C-4867-808F-778981CA17AF}"/>
    <cellStyle name="Millares 2 2 2 2 2 3 3 2" xfId="5161" xr:uid="{2F03ADCA-6EBE-47A1-A36B-3066CC45BA70}"/>
    <cellStyle name="Millares 2 2 2 2 2 3 4" xfId="4967" xr:uid="{D2F9C919-81DB-4ADE-AB55-75CCE574816E}"/>
    <cellStyle name="Millares 2 2 2 2 2 4" xfId="4439" xr:uid="{CA2D0BA0-75C1-42C5-B468-E791D7FA5CEA}"/>
    <cellStyle name="Millares 2 2 2 2 3" xfId="4575" xr:uid="{460FCC32-07C8-4B94-B465-4ADE5780D5EB}"/>
    <cellStyle name="Millares 2 2 2 2 3 2" xfId="4770" xr:uid="{0BB32C56-A9F0-4832-8B0B-A610901FED7F}"/>
    <cellStyle name="Millares 2 2 2 2 3 2 2" xfId="5083" xr:uid="{92829E6C-7DC9-4E1F-BF4C-B1C27B3ECF43}"/>
    <cellStyle name="Millares 2 2 2 2 3 3" xfId="4877" xr:uid="{8D932BAE-4E6C-460E-BB61-31754937E8C1}"/>
    <cellStyle name="Millares 2 2 2 2 3 3 2" xfId="5162" xr:uid="{0AF007BD-3011-4BAE-AAE6-C86D82D84E38}"/>
    <cellStyle name="Millares 2 2 2 2 3 4" xfId="4968" xr:uid="{89882049-02C3-4D03-BB12-9010164E15DC}"/>
    <cellStyle name="Millares 2 2 2 2 4" xfId="4644" xr:uid="{16C1A38C-6596-41C0-9DEE-50EAD8B53C4E}"/>
    <cellStyle name="Millares 2 2 2 2 4 2" xfId="5017" xr:uid="{9DC864C1-4405-45FD-AC48-9028D176234D}"/>
    <cellStyle name="Millares 2 2 2 2 5" xfId="4410" xr:uid="{5AD825F6-DB28-4F3F-A325-55E7A84CC145}"/>
    <cellStyle name="Millares 2 2 2 3" xfId="412" xr:uid="{00000000-0005-0000-0000-000079050000}"/>
    <cellStyle name="Millares 2 2 2 3 2" xfId="4457" xr:uid="{A5DCE15D-E88D-499C-A0A7-752C449D0D78}"/>
    <cellStyle name="Millares 2 2 2 3 3" xfId="4576" xr:uid="{F0B085B3-182F-4635-B89C-52E119CC3507}"/>
    <cellStyle name="Millares 2 2 2 3 3 2" xfId="4771" xr:uid="{40FFB65F-7F90-4117-A5DA-C47D347C3560}"/>
    <cellStyle name="Millares 2 2 2 3 3 2 2" xfId="5084" xr:uid="{247F3F8D-723D-4D13-8708-0CE3FEBA1FB9}"/>
    <cellStyle name="Millares 2 2 2 3 3 3" xfId="4878" xr:uid="{E0402F2C-6883-4BC0-A2DC-D1B868C44EAB}"/>
    <cellStyle name="Millares 2 2 2 3 3 3 2" xfId="5163" xr:uid="{EA4C2258-2FA9-45CF-AA3A-09B41F535DC4}"/>
    <cellStyle name="Millares 2 2 2 3 3 4" xfId="4969" xr:uid="{BF8E54A5-BDAD-4183-85C2-EED122DC7610}"/>
    <cellStyle name="Millares 2 2 2 3 4" xfId="4428" xr:uid="{AC65F85B-3FA9-4CE6-AC5B-FD10DDA57892}"/>
    <cellStyle name="Millares 2 2 2 4" xfId="326" xr:uid="{00000000-0005-0000-0000-00007A050000}"/>
    <cellStyle name="Millares 2 2 2 4 2" xfId="4772" xr:uid="{9059C05F-6032-4FAD-8D2A-9FED1F06B4DD}"/>
    <cellStyle name="Millares 2 2 2 4 2 2" xfId="5085" xr:uid="{888BC42A-C535-4DB8-8FD7-B5BB9E66A4FB}"/>
    <cellStyle name="Millares 2 2 2 4 3" xfId="4879" xr:uid="{5D47A8E1-CBAE-4100-922C-48F895F787AB}"/>
    <cellStyle name="Millares 2 2 2 4 3 2" xfId="5164" xr:uid="{C7B165B8-BFF0-4737-8783-7C438CC8523C}"/>
    <cellStyle name="Millares 2 2 2 4 4" xfId="4577" xr:uid="{CBD73CE2-84A5-4E3F-9766-AF4950925B18}"/>
    <cellStyle name="Millares 2 2 2 4 5" xfId="4970" xr:uid="{AA0475D9-5B18-4ADA-B41F-94B40F06CCB9}"/>
    <cellStyle name="Millares 2 2 2 5" xfId="4617" xr:uid="{56187D43-2DED-4FEF-A07B-157BB7FEA778}"/>
    <cellStyle name="Millares 2 2 2 5 2" xfId="4994" xr:uid="{ED33DF47-3206-4381-85CE-48C9964B3D47}"/>
    <cellStyle name="Millares 2 2 2 6" xfId="4375" xr:uid="{00E18F92-D6DF-4EC7-90AE-EC1D54B4D2A2}"/>
    <cellStyle name="Millares 2 2 3" xfId="333" xr:uid="{00000000-0005-0000-0000-00007B050000}"/>
    <cellStyle name="Millares 2 2 3 2" xfId="419" xr:uid="{00000000-0005-0000-0000-00007C050000}"/>
    <cellStyle name="Millares 2 2 3 2 2" xfId="4463" xr:uid="{DB6F8A87-4D6D-4301-84C7-EA4F87DE9253}"/>
    <cellStyle name="Millares 2 2 3 2 3" xfId="4578" xr:uid="{81328921-DA1A-4BF9-8C25-FAA3858CC114}"/>
    <cellStyle name="Millares 2 2 3 2 3 2" xfId="4773" xr:uid="{2FD1BE34-85BD-41AB-B1E8-5CEAC161E4A6}"/>
    <cellStyle name="Millares 2 2 3 2 3 2 2" xfId="5086" xr:uid="{AD11BFF7-7B38-4358-8906-005C9DC1C771}"/>
    <cellStyle name="Millares 2 2 3 2 3 3" xfId="4880" xr:uid="{4440DAE4-53F1-4E1C-97CB-6DBA76A22A38}"/>
    <cellStyle name="Millares 2 2 3 2 3 3 2" xfId="5165" xr:uid="{4A17680E-629F-443A-9428-18FD05B83EB6}"/>
    <cellStyle name="Millares 2 2 3 2 3 4" xfId="4971" xr:uid="{D8873867-5B19-4896-927C-3954CA0393D0}"/>
    <cellStyle name="Millares 2 2 3 2 4" xfId="4438" xr:uid="{70AF64AB-003E-45F7-B848-F89401A9990C}"/>
    <cellStyle name="Millares 2 2 3 3" xfId="4579" xr:uid="{DCB0EE51-A3E7-46AE-81A3-6BEC5450CD0F}"/>
    <cellStyle name="Millares 2 2 3 3 2" xfId="4774" xr:uid="{39552D60-2D26-4366-92CF-0E224895A424}"/>
    <cellStyle name="Millares 2 2 3 3 2 2" xfId="5087" xr:uid="{9C3BD0BA-EE46-4CB4-8549-ED866DA50310}"/>
    <cellStyle name="Millares 2 2 3 3 3" xfId="4881" xr:uid="{53D76E0A-495F-4A02-B8F0-BE12654FF525}"/>
    <cellStyle name="Millares 2 2 3 3 3 2" xfId="5166" xr:uid="{87732B9B-F79B-40BC-826F-292E9E695B45}"/>
    <cellStyle name="Millares 2 2 3 3 4" xfId="4972" xr:uid="{8341D5EB-00E4-4F0A-8C1A-666389513E4B}"/>
    <cellStyle name="Millares 2 2 3 4" xfId="4643" xr:uid="{215E6BE8-0D54-4CD4-8D8C-7A363448B0AB}"/>
    <cellStyle name="Millares 2 2 3 4 2" xfId="5016" xr:uid="{5DD25CCA-A3A9-4A3C-9C96-2997EE504062}"/>
    <cellStyle name="Millares 2 2 3 5" xfId="4409" xr:uid="{FF59FC64-26F0-4839-B252-52C476064D23}"/>
    <cellStyle name="Millares 2 2 4" xfId="404" xr:uid="{00000000-0005-0000-0000-00007D050000}"/>
    <cellStyle name="Millares 2 2 4 2" xfId="4456" xr:uid="{C26C2CDB-F59D-4001-A634-D51B4FB11D58}"/>
    <cellStyle name="Millares 2 2 4 3" xfId="4580" xr:uid="{17A42C24-D227-4355-B32B-311432C677AD}"/>
    <cellStyle name="Millares 2 2 4 3 2" xfId="4775" xr:uid="{3CFB9C43-BCF9-4D79-BEE7-169B11E10CE8}"/>
    <cellStyle name="Millares 2 2 4 3 2 2" xfId="5088" xr:uid="{E326ACE9-5E4A-4653-97EA-A264CD78DA38}"/>
    <cellStyle name="Millares 2 2 4 3 3" xfId="4882" xr:uid="{5D7D1F68-016D-4EEE-92DA-ACF3BD506B28}"/>
    <cellStyle name="Millares 2 2 4 3 3 2" xfId="5167" xr:uid="{CBB4AC61-D5AE-4F9D-83D5-B27BD30B3701}"/>
    <cellStyle name="Millares 2 2 4 3 4" xfId="4973" xr:uid="{EB033503-A7FD-466D-8B12-315E910ECB28}"/>
    <cellStyle name="Millares 2 2 4 4" xfId="4427" xr:uid="{6F403AA8-CB90-4C5E-AFD6-9FD551188D6B}"/>
    <cellStyle name="Millares 2 2 5" xfId="4581" xr:uid="{F7201D96-81B6-49A1-BAF9-CA91E73E2233}"/>
    <cellStyle name="Millares 2 2 5 2" xfId="4776" xr:uid="{6275279B-E025-4805-A1D2-C39FBB0F7A93}"/>
    <cellStyle name="Millares 2 2 5 2 2" xfId="5089" xr:uid="{3E4615DF-7146-41E8-8B61-4D612C2EC357}"/>
    <cellStyle name="Millares 2 2 5 3" xfId="4883" xr:uid="{F30C3798-794B-4EFA-B447-E4EFCB79C17F}"/>
    <cellStyle name="Millares 2 2 5 3 2" xfId="5168" xr:uid="{6D7500B7-E45E-497B-BC58-CB80E184BBA9}"/>
    <cellStyle name="Millares 2 2 5 4" xfId="4974" xr:uid="{A0B44686-309F-442A-969A-61C2C74AA711}"/>
    <cellStyle name="Millares 2 2 6" xfId="4616" xr:uid="{A01D1F75-D952-4A6E-819F-1F3E6AF1DC4F}"/>
    <cellStyle name="Millares 2 2 6 2" xfId="4993" xr:uid="{F983F35D-738C-43AC-9865-686D5D8A1D38}"/>
    <cellStyle name="Millares 2 2 7" xfId="4373" xr:uid="{C3511F3E-BB4A-421B-A1EF-A9969D4C00FC}"/>
    <cellStyle name="Millares 2 3" xfId="298" xr:uid="{00000000-0005-0000-0000-00007E050000}"/>
    <cellStyle name="Millares 2 3 10" xfId="781" xr:uid="{00000000-0005-0000-0000-00007F050000}"/>
    <cellStyle name="Millares 2 3 10 2" xfId="2364" xr:uid="{00000000-0005-0000-0000-000080050000}"/>
    <cellStyle name="Millares 2 3 10 2 2" xfId="3946" xr:uid="{00000000-0005-0000-0000-000081050000}"/>
    <cellStyle name="Millares 2 3 10 3" xfId="1573" xr:uid="{00000000-0005-0000-0000-000082050000}"/>
    <cellStyle name="Millares 2 3 10 4" xfId="3155" xr:uid="{00000000-0005-0000-0000-000083050000}"/>
    <cellStyle name="Millares 2 3 11" xfId="1970" xr:uid="{00000000-0005-0000-0000-000084050000}"/>
    <cellStyle name="Millares 2 3 11 2" xfId="3552" xr:uid="{00000000-0005-0000-0000-000085050000}"/>
    <cellStyle name="Millares 2 3 12" xfId="1179" xr:uid="{00000000-0005-0000-0000-000086050000}"/>
    <cellStyle name="Millares 2 3 13" xfId="2761" xr:uid="{00000000-0005-0000-0000-000087050000}"/>
    <cellStyle name="Millares 2 3 14" xfId="4582" xr:uid="{C5A6C24F-2911-45C4-8E1B-6BBC2DBC907F}"/>
    <cellStyle name="Millares 2 3 15" xfId="4619" xr:uid="{3451EF76-2C4D-4F44-89F1-23993F626BEB}"/>
    <cellStyle name="Millares 2 3 15 2" xfId="4996" xr:uid="{84947133-5C54-4431-A59E-7822B3E21247}"/>
    <cellStyle name="Millares 2 3 16" xfId="4380" xr:uid="{8DAFA3E0-D535-4A13-B272-92144459D750}"/>
    <cellStyle name="Millares 2 3 2" xfId="317" xr:uid="{00000000-0005-0000-0000-000088050000}"/>
    <cellStyle name="Millares 2 3 2 10" xfId="1983" xr:uid="{00000000-0005-0000-0000-000089050000}"/>
    <cellStyle name="Millares 2 3 2 10 2" xfId="3565" xr:uid="{00000000-0005-0000-0000-00008A050000}"/>
    <cellStyle name="Millares 2 3 2 11" xfId="1192" xr:uid="{00000000-0005-0000-0000-00008B050000}"/>
    <cellStyle name="Millares 2 3 2 12" xfId="2774" xr:uid="{00000000-0005-0000-0000-00008C050000}"/>
    <cellStyle name="Millares 2 3 2 13" xfId="4583" xr:uid="{4FF6DF94-5B1C-47E1-AF9A-14BD4C25C42A}"/>
    <cellStyle name="Millares 2 3 2 14" xfId="4647" xr:uid="{C81701F2-D289-42D0-B104-BD89E3ACADF3}"/>
    <cellStyle name="Millares 2 3 2 14 2" xfId="5020" xr:uid="{192A64DB-E490-4525-940B-41C96882A732}"/>
    <cellStyle name="Millares 2 3 2 15" xfId="4414" xr:uid="{E2D82327-5107-4461-8466-B9E12A83D6EF}"/>
    <cellStyle name="Millares 2 3 2 2" xfId="340" xr:uid="{00000000-0005-0000-0000-00008D050000}"/>
    <cellStyle name="Millares 2 3 2 2 2" xfId="4465" xr:uid="{9D7AFA2B-329F-4AC3-84ED-2BDEBFE2F7EC}"/>
    <cellStyle name="Millares 2 3 2 2 3" xfId="4584" xr:uid="{47B046DB-AD89-4078-AC91-7316560D5473}"/>
    <cellStyle name="Millares 2 3 2 2 3 2" xfId="4777" xr:uid="{001DE465-5AB2-4ECD-8135-2A60AE9FE485}"/>
    <cellStyle name="Millares 2 3 2 2 3 2 2" xfId="5090" xr:uid="{E442F0E9-C153-48C2-B350-67E0A9689B5C}"/>
    <cellStyle name="Millares 2 3 2 2 3 3" xfId="4884" xr:uid="{1C759ABF-F63E-404D-93F2-6DED617C680D}"/>
    <cellStyle name="Millares 2 3 2 2 3 3 2" xfId="5169" xr:uid="{6A364520-27F4-44A7-8E1F-3F2BA1ABA3BA}"/>
    <cellStyle name="Millares 2 3 2 2 3 4" xfId="4975" xr:uid="{8F9EAB87-3869-49BB-A0B5-2EEDC0F5AC1A}"/>
    <cellStyle name="Millares 2 3 2 2 4" xfId="4440" xr:uid="{12ACFB2E-514F-4A21-AAB9-F1CABDEA8EAC}"/>
    <cellStyle name="Millares 2 3 2 3" xfId="426" xr:uid="{00000000-0005-0000-0000-00008E050000}"/>
    <cellStyle name="Millares 2 3 2 3 2" xfId="4778" xr:uid="{F70EBC9D-8D48-40C4-BE28-E6867EA8BEA0}"/>
    <cellStyle name="Millares 2 3 2 3 2 2" xfId="5091" xr:uid="{25284AB6-619B-4A0B-BD02-FA9EEAEE48F7}"/>
    <cellStyle name="Millares 2 3 2 3 3" xfId="4885" xr:uid="{A993BE88-232B-4885-B265-90FC96BA5C87}"/>
    <cellStyle name="Millares 2 3 2 3 3 2" xfId="5170" xr:uid="{4B7681BE-2203-428E-AEE2-6FB3865AA8AE}"/>
    <cellStyle name="Millares 2 3 2 3 4" xfId="4585" xr:uid="{1BC491F3-046B-49A9-8F9A-A106F19408AF}"/>
    <cellStyle name="Millares 2 3 2 3 5" xfId="4976" xr:uid="{2C720C21-B425-431D-9FF2-410B71E89DF4}"/>
    <cellStyle name="Millares 2 3 2 4" xfId="395" xr:uid="{00000000-0005-0000-0000-00008F050000}"/>
    <cellStyle name="Millares 2 3 2 4 2" xfId="504" xr:uid="{00000000-0005-0000-0000-000090050000}"/>
    <cellStyle name="Millares 2 3 2 4 2 2" xfId="732" xr:uid="{00000000-0005-0000-0000-000091050000}"/>
    <cellStyle name="Millares 2 3 2 4 2 2 2" xfId="1132" xr:uid="{00000000-0005-0000-0000-000092050000}"/>
    <cellStyle name="Millares 2 3 2 4 2 2 2 2" xfId="2715" xr:uid="{00000000-0005-0000-0000-000093050000}"/>
    <cellStyle name="Millares 2 3 2 4 2 2 2 2 2" xfId="4297" xr:uid="{00000000-0005-0000-0000-000094050000}"/>
    <cellStyle name="Millares 2 3 2 4 2 2 2 3" xfId="1924" xr:uid="{00000000-0005-0000-0000-000095050000}"/>
    <cellStyle name="Millares 2 3 2 4 2 2 2 4" xfId="3506" xr:uid="{00000000-0005-0000-0000-000096050000}"/>
    <cellStyle name="Millares 2 3 2 4 2 2 3" xfId="2321" xr:uid="{00000000-0005-0000-0000-000097050000}"/>
    <cellStyle name="Millares 2 3 2 4 2 2 3 2" xfId="3903" xr:uid="{00000000-0005-0000-0000-000098050000}"/>
    <cellStyle name="Millares 2 3 2 4 2 2 4" xfId="1530" xr:uid="{00000000-0005-0000-0000-000099050000}"/>
    <cellStyle name="Millares 2 3 2 4 2 2 5" xfId="3112" xr:uid="{00000000-0005-0000-0000-00009A050000}"/>
    <cellStyle name="Millares 2 3 2 4 2 3" xfId="911" xr:uid="{00000000-0005-0000-0000-00009B050000}"/>
    <cellStyle name="Millares 2 3 2 4 2 3 2" xfId="2494" xr:uid="{00000000-0005-0000-0000-00009C050000}"/>
    <cellStyle name="Millares 2 3 2 4 2 3 2 2" xfId="4076" xr:uid="{00000000-0005-0000-0000-00009D050000}"/>
    <cellStyle name="Millares 2 3 2 4 2 3 3" xfId="1703" xr:uid="{00000000-0005-0000-0000-00009E050000}"/>
    <cellStyle name="Millares 2 3 2 4 2 3 4" xfId="3285" xr:uid="{00000000-0005-0000-0000-00009F050000}"/>
    <cellStyle name="Millares 2 3 2 4 2 4" xfId="2100" xr:uid="{00000000-0005-0000-0000-0000A0050000}"/>
    <cellStyle name="Millares 2 3 2 4 2 4 2" xfId="3682" xr:uid="{00000000-0005-0000-0000-0000A1050000}"/>
    <cellStyle name="Millares 2 3 2 4 2 5" xfId="1309" xr:uid="{00000000-0005-0000-0000-0000A2050000}"/>
    <cellStyle name="Millares 2 3 2 4 2 6" xfId="2891" xr:uid="{00000000-0005-0000-0000-0000A3050000}"/>
    <cellStyle name="Millares 2 3 2 4 3" xfId="581" xr:uid="{00000000-0005-0000-0000-0000A4050000}"/>
    <cellStyle name="Millares 2 3 2 4 3 2" xfId="988" xr:uid="{00000000-0005-0000-0000-0000A5050000}"/>
    <cellStyle name="Millares 2 3 2 4 3 2 2" xfId="2571" xr:uid="{00000000-0005-0000-0000-0000A6050000}"/>
    <cellStyle name="Millares 2 3 2 4 3 2 2 2" xfId="4153" xr:uid="{00000000-0005-0000-0000-0000A7050000}"/>
    <cellStyle name="Millares 2 3 2 4 3 2 3" xfId="1780" xr:uid="{00000000-0005-0000-0000-0000A8050000}"/>
    <cellStyle name="Millares 2 3 2 4 3 2 4" xfId="3362" xr:uid="{00000000-0005-0000-0000-0000A9050000}"/>
    <cellStyle name="Millares 2 3 2 4 3 3" xfId="2177" xr:uid="{00000000-0005-0000-0000-0000AA050000}"/>
    <cellStyle name="Millares 2 3 2 4 3 3 2" xfId="3759" xr:uid="{00000000-0005-0000-0000-0000AB050000}"/>
    <cellStyle name="Millares 2 3 2 4 3 4" xfId="1386" xr:uid="{00000000-0005-0000-0000-0000AC050000}"/>
    <cellStyle name="Millares 2 3 2 4 3 5" xfId="2968" xr:uid="{00000000-0005-0000-0000-0000AD050000}"/>
    <cellStyle name="Millares 2 3 2 4 4" xfId="656" xr:uid="{00000000-0005-0000-0000-0000AE050000}"/>
    <cellStyle name="Millares 2 3 2 4 4 2" xfId="1056" xr:uid="{00000000-0005-0000-0000-0000AF050000}"/>
    <cellStyle name="Millares 2 3 2 4 4 2 2" xfId="2639" xr:uid="{00000000-0005-0000-0000-0000B0050000}"/>
    <cellStyle name="Millares 2 3 2 4 4 2 2 2" xfId="4221" xr:uid="{00000000-0005-0000-0000-0000B1050000}"/>
    <cellStyle name="Millares 2 3 2 4 4 2 3" xfId="1848" xr:uid="{00000000-0005-0000-0000-0000B2050000}"/>
    <cellStyle name="Millares 2 3 2 4 4 2 4" xfId="3430" xr:uid="{00000000-0005-0000-0000-0000B3050000}"/>
    <cellStyle name="Millares 2 3 2 4 4 3" xfId="2245" xr:uid="{00000000-0005-0000-0000-0000B4050000}"/>
    <cellStyle name="Millares 2 3 2 4 4 3 2" xfId="3827" xr:uid="{00000000-0005-0000-0000-0000B5050000}"/>
    <cellStyle name="Millares 2 3 2 4 4 4" xfId="1454" xr:uid="{00000000-0005-0000-0000-0000B6050000}"/>
    <cellStyle name="Millares 2 3 2 4 4 5" xfId="3036" xr:uid="{00000000-0005-0000-0000-0000B7050000}"/>
    <cellStyle name="Millares 2 3 2 4 5" xfId="835" xr:uid="{00000000-0005-0000-0000-0000B8050000}"/>
    <cellStyle name="Millares 2 3 2 4 5 2" xfId="2418" xr:uid="{00000000-0005-0000-0000-0000B9050000}"/>
    <cellStyle name="Millares 2 3 2 4 5 2 2" xfId="4000" xr:uid="{00000000-0005-0000-0000-0000BA050000}"/>
    <cellStyle name="Millares 2 3 2 4 5 3" xfId="1627" xr:uid="{00000000-0005-0000-0000-0000BB050000}"/>
    <cellStyle name="Millares 2 3 2 4 5 4" xfId="3209" xr:uid="{00000000-0005-0000-0000-0000BC050000}"/>
    <cellStyle name="Millares 2 3 2 4 6" xfId="2024" xr:uid="{00000000-0005-0000-0000-0000BD050000}"/>
    <cellStyle name="Millares 2 3 2 4 6 2" xfId="3606" xr:uid="{00000000-0005-0000-0000-0000BE050000}"/>
    <cellStyle name="Millares 2 3 2 4 7" xfId="1233" xr:uid="{00000000-0005-0000-0000-0000BF050000}"/>
    <cellStyle name="Millares 2 3 2 4 8" xfId="2815" xr:uid="{00000000-0005-0000-0000-0000C0050000}"/>
    <cellStyle name="Millares 2 3 2 5" xfId="463" xr:uid="{00000000-0005-0000-0000-0000C1050000}"/>
    <cellStyle name="Millares 2 3 2 5 2" xfId="691" xr:uid="{00000000-0005-0000-0000-0000C2050000}"/>
    <cellStyle name="Millares 2 3 2 5 2 2" xfId="1091" xr:uid="{00000000-0005-0000-0000-0000C3050000}"/>
    <cellStyle name="Millares 2 3 2 5 2 2 2" xfId="2674" xr:uid="{00000000-0005-0000-0000-0000C4050000}"/>
    <cellStyle name="Millares 2 3 2 5 2 2 2 2" xfId="4256" xr:uid="{00000000-0005-0000-0000-0000C5050000}"/>
    <cellStyle name="Millares 2 3 2 5 2 2 3" xfId="1883" xr:uid="{00000000-0005-0000-0000-0000C6050000}"/>
    <cellStyle name="Millares 2 3 2 5 2 2 4" xfId="3465" xr:uid="{00000000-0005-0000-0000-0000C7050000}"/>
    <cellStyle name="Millares 2 3 2 5 2 3" xfId="2280" xr:uid="{00000000-0005-0000-0000-0000C8050000}"/>
    <cellStyle name="Millares 2 3 2 5 2 3 2" xfId="3862" xr:uid="{00000000-0005-0000-0000-0000C9050000}"/>
    <cellStyle name="Millares 2 3 2 5 2 4" xfId="1489" xr:uid="{00000000-0005-0000-0000-0000CA050000}"/>
    <cellStyle name="Millares 2 3 2 5 2 5" xfId="3071" xr:uid="{00000000-0005-0000-0000-0000CB050000}"/>
    <cellStyle name="Millares 2 3 2 5 3" xfId="870" xr:uid="{00000000-0005-0000-0000-0000CC050000}"/>
    <cellStyle name="Millares 2 3 2 5 3 2" xfId="2453" xr:uid="{00000000-0005-0000-0000-0000CD050000}"/>
    <cellStyle name="Millares 2 3 2 5 3 2 2" xfId="4035" xr:uid="{00000000-0005-0000-0000-0000CE050000}"/>
    <cellStyle name="Millares 2 3 2 5 3 3" xfId="1662" xr:uid="{00000000-0005-0000-0000-0000CF050000}"/>
    <cellStyle name="Millares 2 3 2 5 3 4" xfId="3244" xr:uid="{00000000-0005-0000-0000-0000D0050000}"/>
    <cellStyle name="Millares 2 3 2 5 4" xfId="2059" xr:uid="{00000000-0005-0000-0000-0000D1050000}"/>
    <cellStyle name="Millares 2 3 2 5 4 2" xfId="3641" xr:uid="{00000000-0005-0000-0000-0000D2050000}"/>
    <cellStyle name="Millares 2 3 2 5 5" xfId="1268" xr:uid="{00000000-0005-0000-0000-0000D3050000}"/>
    <cellStyle name="Millares 2 3 2 5 6" xfId="2850" xr:uid="{00000000-0005-0000-0000-0000D4050000}"/>
    <cellStyle name="Millares 2 3 2 6" xfId="540" xr:uid="{00000000-0005-0000-0000-0000D5050000}"/>
    <cellStyle name="Millares 2 3 2 6 2" xfId="947" xr:uid="{00000000-0005-0000-0000-0000D6050000}"/>
    <cellStyle name="Millares 2 3 2 6 2 2" xfId="2530" xr:uid="{00000000-0005-0000-0000-0000D7050000}"/>
    <cellStyle name="Millares 2 3 2 6 2 2 2" xfId="4112" xr:uid="{00000000-0005-0000-0000-0000D8050000}"/>
    <cellStyle name="Millares 2 3 2 6 2 3" xfId="1739" xr:uid="{00000000-0005-0000-0000-0000D9050000}"/>
    <cellStyle name="Millares 2 3 2 6 2 4" xfId="3321" xr:uid="{00000000-0005-0000-0000-0000DA050000}"/>
    <cellStyle name="Millares 2 3 2 6 3" xfId="2136" xr:uid="{00000000-0005-0000-0000-0000DB050000}"/>
    <cellStyle name="Millares 2 3 2 6 3 2" xfId="3718" xr:uid="{00000000-0005-0000-0000-0000DC050000}"/>
    <cellStyle name="Millares 2 3 2 6 4" xfId="1345" xr:uid="{00000000-0005-0000-0000-0000DD050000}"/>
    <cellStyle name="Millares 2 3 2 6 5" xfId="2927" xr:uid="{00000000-0005-0000-0000-0000DE050000}"/>
    <cellStyle name="Millares 2 3 2 7" xfId="615" xr:uid="{00000000-0005-0000-0000-0000DF050000}"/>
    <cellStyle name="Millares 2 3 2 7 2" xfId="1015" xr:uid="{00000000-0005-0000-0000-0000E0050000}"/>
    <cellStyle name="Millares 2 3 2 7 2 2" xfId="2598" xr:uid="{00000000-0005-0000-0000-0000E1050000}"/>
    <cellStyle name="Millares 2 3 2 7 2 2 2" xfId="4180" xr:uid="{00000000-0005-0000-0000-0000E2050000}"/>
    <cellStyle name="Millares 2 3 2 7 2 3" xfId="1807" xr:uid="{00000000-0005-0000-0000-0000E3050000}"/>
    <cellStyle name="Millares 2 3 2 7 2 4" xfId="3389" xr:uid="{00000000-0005-0000-0000-0000E4050000}"/>
    <cellStyle name="Millares 2 3 2 7 3" xfId="2204" xr:uid="{00000000-0005-0000-0000-0000E5050000}"/>
    <cellStyle name="Millares 2 3 2 7 3 2" xfId="3786" xr:uid="{00000000-0005-0000-0000-0000E6050000}"/>
    <cellStyle name="Millares 2 3 2 7 4" xfId="1413" xr:uid="{00000000-0005-0000-0000-0000E7050000}"/>
    <cellStyle name="Millares 2 3 2 7 5" xfId="2995" xr:uid="{00000000-0005-0000-0000-0000E8050000}"/>
    <cellStyle name="Millares 2 3 2 8" xfId="767" xr:uid="{00000000-0005-0000-0000-0000E9050000}"/>
    <cellStyle name="Millares 2 3 2 8 2" xfId="1167" xr:uid="{00000000-0005-0000-0000-0000EA050000}"/>
    <cellStyle name="Millares 2 3 2 8 2 2" xfId="2750" xr:uid="{00000000-0005-0000-0000-0000EB050000}"/>
    <cellStyle name="Millares 2 3 2 8 2 2 2" xfId="4332" xr:uid="{00000000-0005-0000-0000-0000EC050000}"/>
    <cellStyle name="Millares 2 3 2 8 2 3" xfId="1959" xr:uid="{00000000-0005-0000-0000-0000ED050000}"/>
    <cellStyle name="Millares 2 3 2 8 2 4" xfId="3541" xr:uid="{00000000-0005-0000-0000-0000EE050000}"/>
    <cellStyle name="Millares 2 3 2 8 3" xfId="2356" xr:uid="{00000000-0005-0000-0000-0000EF050000}"/>
    <cellStyle name="Millares 2 3 2 8 3 2" xfId="3938" xr:uid="{00000000-0005-0000-0000-0000F0050000}"/>
    <cellStyle name="Millares 2 3 2 8 4" xfId="1565" xr:uid="{00000000-0005-0000-0000-0000F1050000}"/>
    <cellStyle name="Millares 2 3 2 8 5" xfId="3147" xr:uid="{00000000-0005-0000-0000-0000F2050000}"/>
    <cellStyle name="Millares 2 3 2 9" xfId="794" xr:uid="{00000000-0005-0000-0000-0000F3050000}"/>
    <cellStyle name="Millares 2 3 2 9 2" xfId="2377" xr:uid="{00000000-0005-0000-0000-0000F4050000}"/>
    <cellStyle name="Millares 2 3 2 9 2 2" xfId="3959" xr:uid="{00000000-0005-0000-0000-0000F5050000}"/>
    <cellStyle name="Millares 2 3 2 9 3" xfId="1586" xr:uid="{00000000-0005-0000-0000-0000F6050000}"/>
    <cellStyle name="Millares 2 3 2 9 4" xfId="3168" xr:uid="{00000000-0005-0000-0000-0000F7050000}"/>
    <cellStyle name="Millares 2 3 3" xfId="325" xr:uid="{00000000-0005-0000-0000-0000F8050000}"/>
    <cellStyle name="Millares 2 3 3 2" xfId="4458" xr:uid="{9826CEAC-FFA9-43D9-955E-10FAB67E0D79}"/>
    <cellStyle name="Millares 2 3 3 3" xfId="4586" xr:uid="{7D50D22D-17B9-482A-8390-25FDDBB2277B}"/>
    <cellStyle name="Millares 2 3 3 3 2" xfId="4779" xr:uid="{C2B89B7D-8167-4270-9EF3-156F8CDE3F1E}"/>
    <cellStyle name="Millares 2 3 3 3 2 2" xfId="5092" xr:uid="{D3C5ECB4-AC00-400F-8B53-0FD83D9BEF2F}"/>
    <cellStyle name="Millares 2 3 3 3 3" xfId="4886" xr:uid="{CE2A1346-B847-427F-B6A0-4D0B8C9155BA}"/>
    <cellStyle name="Millares 2 3 3 3 3 2" xfId="5171" xr:uid="{3782EC6B-47B9-4A4F-A230-B7C84DFAA976}"/>
    <cellStyle name="Millares 2 3 3 3 4" xfId="4977" xr:uid="{6A87D908-AE9B-4A9D-9C04-A0916668BDCE}"/>
    <cellStyle name="Millares 2 3 3 4" xfId="4429" xr:uid="{9BF03188-5971-4637-AF94-4DF4D1953AB2}"/>
    <cellStyle name="Millares 2 3 4" xfId="411" xr:uid="{00000000-0005-0000-0000-0000F9050000}"/>
    <cellStyle name="Millares 2 3 4 2" xfId="4780" xr:uid="{5D03AC4E-86B1-4458-823F-32B5A4E7D100}"/>
    <cellStyle name="Millares 2 3 4 2 2" xfId="5093" xr:uid="{83AB1DBB-ED84-41F2-B8BB-A4A397D98B8B}"/>
    <cellStyle name="Millares 2 3 4 3" xfId="4887" xr:uid="{0BFB6A94-6952-4E19-A609-8EA05966D580}"/>
    <cellStyle name="Millares 2 3 4 3 2" xfId="5172" xr:uid="{E3452A4E-714F-4B10-AC32-6C1ECCD346D3}"/>
    <cellStyle name="Millares 2 3 4 4" xfId="4587" xr:uid="{42F955C4-85CD-43D3-A788-B65D2D173B1D}"/>
    <cellStyle name="Millares 2 3 4 5" xfId="4978" xr:uid="{014919BB-4318-46DF-9AC4-70A6EC26E742}"/>
    <cellStyle name="Millares 2 3 5" xfId="376" xr:uid="{00000000-0005-0000-0000-0000FA050000}"/>
    <cellStyle name="Millares 2 3 5 2" xfId="491" xr:uid="{00000000-0005-0000-0000-0000FB050000}"/>
    <cellStyle name="Millares 2 3 5 2 2" xfId="719" xr:uid="{00000000-0005-0000-0000-0000FC050000}"/>
    <cellStyle name="Millares 2 3 5 2 2 2" xfId="1119" xr:uid="{00000000-0005-0000-0000-0000FD050000}"/>
    <cellStyle name="Millares 2 3 5 2 2 2 2" xfId="2702" xr:uid="{00000000-0005-0000-0000-0000FE050000}"/>
    <cellStyle name="Millares 2 3 5 2 2 2 2 2" xfId="4284" xr:uid="{00000000-0005-0000-0000-0000FF050000}"/>
    <cellStyle name="Millares 2 3 5 2 2 2 3" xfId="1911" xr:uid="{00000000-0005-0000-0000-000000060000}"/>
    <cellStyle name="Millares 2 3 5 2 2 2 4" xfId="3493" xr:uid="{00000000-0005-0000-0000-000001060000}"/>
    <cellStyle name="Millares 2 3 5 2 2 3" xfId="2308" xr:uid="{00000000-0005-0000-0000-000002060000}"/>
    <cellStyle name="Millares 2 3 5 2 2 3 2" xfId="3890" xr:uid="{00000000-0005-0000-0000-000003060000}"/>
    <cellStyle name="Millares 2 3 5 2 2 4" xfId="1517" xr:uid="{00000000-0005-0000-0000-000004060000}"/>
    <cellStyle name="Millares 2 3 5 2 2 5" xfId="3099" xr:uid="{00000000-0005-0000-0000-000005060000}"/>
    <cellStyle name="Millares 2 3 5 2 3" xfId="898" xr:uid="{00000000-0005-0000-0000-000006060000}"/>
    <cellStyle name="Millares 2 3 5 2 3 2" xfId="2481" xr:uid="{00000000-0005-0000-0000-000007060000}"/>
    <cellStyle name="Millares 2 3 5 2 3 2 2" xfId="4063" xr:uid="{00000000-0005-0000-0000-000008060000}"/>
    <cellStyle name="Millares 2 3 5 2 3 3" xfId="1690" xr:uid="{00000000-0005-0000-0000-000009060000}"/>
    <cellStyle name="Millares 2 3 5 2 3 4" xfId="3272" xr:uid="{00000000-0005-0000-0000-00000A060000}"/>
    <cellStyle name="Millares 2 3 5 2 4" xfId="2087" xr:uid="{00000000-0005-0000-0000-00000B060000}"/>
    <cellStyle name="Millares 2 3 5 2 4 2" xfId="3669" xr:uid="{00000000-0005-0000-0000-00000C060000}"/>
    <cellStyle name="Millares 2 3 5 2 5" xfId="1296" xr:uid="{00000000-0005-0000-0000-00000D060000}"/>
    <cellStyle name="Millares 2 3 5 2 6" xfId="2878" xr:uid="{00000000-0005-0000-0000-00000E060000}"/>
    <cellStyle name="Millares 2 3 5 3" xfId="568" xr:uid="{00000000-0005-0000-0000-00000F060000}"/>
    <cellStyle name="Millares 2 3 5 3 2" xfId="975" xr:uid="{00000000-0005-0000-0000-000010060000}"/>
    <cellStyle name="Millares 2 3 5 3 2 2" xfId="2558" xr:uid="{00000000-0005-0000-0000-000011060000}"/>
    <cellStyle name="Millares 2 3 5 3 2 2 2" xfId="4140" xr:uid="{00000000-0005-0000-0000-000012060000}"/>
    <cellStyle name="Millares 2 3 5 3 2 3" xfId="1767" xr:uid="{00000000-0005-0000-0000-000013060000}"/>
    <cellStyle name="Millares 2 3 5 3 2 4" xfId="3349" xr:uid="{00000000-0005-0000-0000-000014060000}"/>
    <cellStyle name="Millares 2 3 5 3 3" xfId="2164" xr:uid="{00000000-0005-0000-0000-000015060000}"/>
    <cellStyle name="Millares 2 3 5 3 3 2" xfId="3746" xr:uid="{00000000-0005-0000-0000-000016060000}"/>
    <cellStyle name="Millares 2 3 5 3 4" xfId="1373" xr:uid="{00000000-0005-0000-0000-000017060000}"/>
    <cellStyle name="Millares 2 3 5 3 5" xfId="2955" xr:uid="{00000000-0005-0000-0000-000018060000}"/>
    <cellStyle name="Millares 2 3 5 4" xfId="643" xr:uid="{00000000-0005-0000-0000-000019060000}"/>
    <cellStyle name="Millares 2 3 5 4 2" xfId="1043" xr:uid="{00000000-0005-0000-0000-00001A060000}"/>
    <cellStyle name="Millares 2 3 5 4 2 2" xfId="2626" xr:uid="{00000000-0005-0000-0000-00001B060000}"/>
    <cellStyle name="Millares 2 3 5 4 2 2 2" xfId="4208" xr:uid="{00000000-0005-0000-0000-00001C060000}"/>
    <cellStyle name="Millares 2 3 5 4 2 3" xfId="1835" xr:uid="{00000000-0005-0000-0000-00001D060000}"/>
    <cellStyle name="Millares 2 3 5 4 2 4" xfId="3417" xr:uid="{00000000-0005-0000-0000-00001E060000}"/>
    <cellStyle name="Millares 2 3 5 4 3" xfId="2232" xr:uid="{00000000-0005-0000-0000-00001F060000}"/>
    <cellStyle name="Millares 2 3 5 4 3 2" xfId="3814" xr:uid="{00000000-0005-0000-0000-000020060000}"/>
    <cellStyle name="Millares 2 3 5 4 4" xfId="1441" xr:uid="{00000000-0005-0000-0000-000021060000}"/>
    <cellStyle name="Millares 2 3 5 4 5" xfId="3023" xr:uid="{00000000-0005-0000-0000-000022060000}"/>
    <cellStyle name="Millares 2 3 5 5" xfId="822" xr:uid="{00000000-0005-0000-0000-000023060000}"/>
    <cellStyle name="Millares 2 3 5 5 2" xfId="2405" xr:uid="{00000000-0005-0000-0000-000024060000}"/>
    <cellStyle name="Millares 2 3 5 5 2 2" xfId="3987" xr:uid="{00000000-0005-0000-0000-000025060000}"/>
    <cellStyle name="Millares 2 3 5 5 3" xfId="1614" xr:uid="{00000000-0005-0000-0000-000026060000}"/>
    <cellStyle name="Millares 2 3 5 5 4" xfId="3196" xr:uid="{00000000-0005-0000-0000-000027060000}"/>
    <cellStyle name="Millares 2 3 5 6" xfId="2011" xr:uid="{00000000-0005-0000-0000-000028060000}"/>
    <cellStyle name="Millares 2 3 5 6 2" xfId="3593" xr:uid="{00000000-0005-0000-0000-000029060000}"/>
    <cellStyle name="Millares 2 3 5 7" xfId="1220" xr:uid="{00000000-0005-0000-0000-00002A060000}"/>
    <cellStyle name="Millares 2 3 5 8" xfId="2802" xr:uid="{00000000-0005-0000-0000-00002B060000}"/>
    <cellStyle name="Millares 2 3 6" xfId="450" xr:uid="{00000000-0005-0000-0000-00002C060000}"/>
    <cellStyle name="Millares 2 3 6 2" xfId="678" xr:uid="{00000000-0005-0000-0000-00002D060000}"/>
    <cellStyle name="Millares 2 3 6 2 2" xfId="1078" xr:uid="{00000000-0005-0000-0000-00002E060000}"/>
    <cellStyle name="Millares 2 3 6 2 2 2" xfId="2661" xr:uid="{00000000-0005-0000-0000-00002F060000}"/>
    <cellStyle name="Millares 2 3 6 2 2 2 2" xfId="4243" xr:uid="{00000000-0005-0000-0000-000030060000}"/>
    <cellStyle name="Millares 2 3 6 2 2 3" xfId="1870" xr:uid="{00000000-0005-0000-0000-000031060000}"/>
    <cellStyle name="Millares 2 3 6 2 2 4" xfId="3452" xr:uid="{00000000-0005-0000-0000-000032060000}"/>
    <cellStyle name="Millares 2 3 6 2 3" xfId="2267" xr:uid="{00000000-0005-0000-0000-000033060000}"/>
    <cellStyle name="Millares 2 3 6 2 3 2" xfId="3849" xr:uid="{00000000-0005-0000-0000-000034060000}"/>
    <cellStyle name="Millares 2 3 6 2 4" xfId="1476" xr:uid="{00000000-0005-0000-0000-000035060000}"/>
    <cellStyle name="Millares 2 3 6 2 5" xfId="3058" xr:uid="{00000000-0005-0000-0000-000036060000}"/>
    <cellStyle name="Millares 2 3 6 3" xfId="857" xr:uid="{00000000-0005-0000-0000-000037060000}"/>
    <cellStyle name="Millares 2 3 6 3 2" xfId="2440" xr:uid="{00000000-0005-0000-0000-000038060000}"/>
    <cellStyle name="Millares 2 3 6 3 2 2" xfId="4022" xr:uid="{00000000-0005-0000-0000-000039060000}"/>
    <cellStyle name="Millares 2 3 6 3 3" xfId="1649" xr:uid="{00000000-0005-0000-0000-00003A060000}"/>
    <cellStyle name="Millares 2 3 6 3 4" xfId="3231" xr:uid="{00000000-0005-0000-0000-00003B060000}"/>
    <cellStyle name="Millares 2 3 6 4" xfId="2046" xr:uid="{00000000-0005-0000-0000-00003C060000}"/>
    <cellStyle name="Millares 2 3 6 4 2" xfId="3628" xr:uid="{00000000-0005-0000-0000-00003D060000}"/>
    <cellStyle name="Millares 2 3 6 5" xfId="1255" xr:uid="{00000000-0005-0000-0000-00003E060000}"/>
    <cellStyle name="Millares 2 3 6 6" xfId="2837" xr:uid="{00000000-0005-0000-0000-00003F060000}"/>
    <cellStyle name="Millares 2 3 7" xfId="527" xr:uid="{00000000-0005-0000-0000-000040060000}"/>
    <cellStyle name="Millares 2 3 7 2" xfId="934" xr:uid="{00000000-0005-0000-0000-000041060000}"/>
    <cellStyle name="Millares 2 3 7 2 2" xfId="2517" xr:uid="{00000000-0005-0000-0000-000042060000}"/>
    <cellStyle name="Millares 2 3 7 2 2 2" xfId="4099" xr:uid="{00000000-0005-0000-0000-000043060000}"/>
    <cellStyle name="Millares 2 3 7 2 3" xfId="1726" xr:uid="{00000000-0005-0000-0000-000044060000}"/>
    <cellStyle name="Millares 2 3 7 2 4" xfId="3308" xr:uid="{00000000-0005-0000-0000-000045060000}"/>
    <cellStyle name="Millares 2 3 7 3" xfId="2123" xr:uid="{00000000-0005-0000-0000-000046060000}"/>
    <cellStyle name="Millares 2 3 7 3 2" xfId="3705" xr:uid="{00000000-0005-0000-0000-000047060000}"/>
    <cellStyle name="Millares 2 3 7 4" xfId="1332" xr:uid="{00000000-0005-0000-0000-000048060000}"/>
    <cellStyle name="Millares 2 3 7 5" xfId="2914" xr:uid="{00000000-0005-0000-0000-000049060000}"/>
    <cellStyle name="Millares 2 3 8" xfId="602" xr:uid="{00000000-0005-0000-0000-00004A060000}"/>
    <cellStyle name="Millares 2 3 8 2" xfId="1002" xr:uid="{00000000-0005-0000-0000-00004B060000}"/>
    <cellStyle name="Millares 2 3 8 2 2" xfId="2585" xr:uid="{00000000-0005-0000-0000-00004C060000}"/>
    <cellStyle name="Millares 2 3 8 2 2 2" xfId="4167" xr:uid="{00000000-0005-0000-0000-00004D060000}"/>
    <cellStyle name="Millares 2 3 8 2 3" xfId="1794" xr:uid="{00000000-0005-0000-0000-00004E060000}"/>
    <cellStyle name="Millares 2 3 8 2 4" xfId="3376" xr:uid="{00000000-0005-0000-0000-00004F060000}"/>
    <cellStyle name="Millares 2 3 8 3" xfId="2191" xr:uid="{00000000-0005-0000-0000-000050060000}"/>
    <cellStyle name="Millares 2 3 8 3 2" xfId="3773" xr:uid="{00000000-0005-0000-0000-000051060000}"/>
    <cellStyle name="Millares 2 3 8 4" xfId="1400" xr:uid="{00000000-0005-0000-0000-000052060000}"/>
    <cellStyle name="Millares 2 3 8 5" xfId="2982" xr:uid="{00000000-0005-0000-0000-000053060000}"/>
    <cellStyle name="Millares 2 3 9" xfId="754" xr:uid="{00000000-0005-0000-0000-000054060000}"/>
    <cellStyle name="Millares 2 3 9 2" xfId="1154" xr:uid="{00000000-0005-0000-0000-000055060000}"/>
    <cellStyle name="Millares 2 3 9 2 2" xfId="2737" xr:uid="{00000000-0005-0000-0000-000056060000}"/>
    <cellStyle name="Millares 2 3 9 2 2 2" xfId="4319" xr:uid="{00000000-0005-0000-0000-000057060000}"/>
    <cellStyle name="Millares 2 3 9 2 3" xfId="1946" xr:uid="{00000000-0005-0000-0000-000058060000}"/>
    <cellStyle name="Millares 2 3 9 2 4" xfId="3528" xr:uid="{00000000-0005-0000-0000-000059060000}"/>
    <cellStyle name="Millares 2 3 9 3" xfId="2343" xr:uid="{00000000-0005-0000-0000-00005A060000}"/>
    <cellStyle name="Millares 2 3 9 3 2" xfId="3925" xr:uid="{00000000-0005-0000-0000-00005B060000}"/>
    <cellStyle name="Millares 2 3 9 4" xfId="1552" xr:uid="{00000000-0005-0000-0000-00005C060000}"/>
    <cellStyle name="Millares 2 3 9 5" xfId="3134" xr:uid="{00000000-0005-0000-0000-00005D060000}"/>
    <cellStyle name="Millares 2 4" xfId="213" xr:uid="{00000000-0005-0000-0000-00005E060000}"/>
    <cellStyle name="Millares 2 4 2" xfId="4416" xr:uid="{92072F19-8390-4F1C-BB92-E72B94A466A6}"/>
    <cellStyle name="Millares 2 4 2 2" xfId="4354" xr:uid="{8EB1F59E-4A65-4B14-8C0A-59F328C9EB8A}"/>
    <cellStyle name="Millares 2 4 2 2 2" xfId="4467" xr:uid="{BBD70C99-92F9-43EF-8CAC-A89A90450CA1}"/>
    <cellStyle name="Millares 2 4 2 3" xfId="4649" xr:uid="{3A2C376A-0F03-462B-9195-F95B0BA147F2}"/>
    <cellStyle name="Millares 2 4 2 3 2" xfId="5022" xr:uid="{66BB620E-A0DB-467C-8FAD-29D859E6E77E}"/>
    <cellStyle name="Millares 2 4 3" xfId="4431" xr:uid="{55461331-CE71-4F11-9E2F-4BA1E0F9AD36}"/>
    <cellStyle name="Millares 2 4 3 2" xfId="4460" xr:uid="{7C0F1BA6-7CA2-43C5-A453-A337E79FDF13}"/>
    <cellStyle name="Millares 2 4 4" xfId="4622" xr:uid="{5F35CE92-D5C1-480C-A70D-680B8AE033DD}"/>
    <cellStyle name="Millares 2 4 4 2" xfId="4999" xr:uid="{E8C4C37D-E471-4B2F-81CB-9C3BE8A09AFB}"/>
    <cellStyle name="Millares 2 4 5" xfId="4384" xr:uid="{1E7167E9-6C9B-4FD8-AA48-CE99D8877A2E}"/>
    <cellStyle name="Millares 2 5" xfId="4408" xr:uid="{68CB7BF1-BD43-4C1A-AD69-88F3F9693A4D}"/>
    <cellStyle name="Millares 2 5 2" xfId="4437" xr:uid="{C90EAC02-08ED-4A50-B1D2-37F796616964}"/>
    <cellStyle name="Millares 2 5 2 2" xfId="4462" xr:uid="{63E49867-585D-496A-A197-06E9661F1827}"/>
    <cellStyle name="Millares 2 5 3" xfId="4642" xr:uid="{FAEF907F-3BF5-4CE8-8990-C29B87B61884}"/>
    <cellStyle name="Millares 2 5 3 2" xfId="5015" xr:uid="{2FAB20BC-E15F-477F-AF6C-1CA761572F6E}"/>
    <cellStyle name="Millares 2 6" xfId="4426" xr:uid="{E1BC1945-7E0E-42AF-8B48-A153B45F9904}"/>
    <cellStyle name="Millares 2 6 2" xfId="4455" xr:uid="{5EF8D44B-27CB-47FC-BD7D-C9CFD9E6801B}"/>
    <cellStyle name="Millares 2 7" xfId="4588" xr:uid="{E054352E-EC6C-471D-8ED7-7EC8EC5C1005}"/>
    <cellStyle name="Millares 2 7 2" xfId="4781" xr:uid="{B52ACD8E-FBAA-4794-A2E3-542666AA6C56}"/>
    <cellStyle name="Millares 2 7 2 2" xfId="5094" xr:uid="{3A438C7E-C360-4175-B602-729B5F8E8150}"/>
    <cellStyle name="Millares 2 7 3" xfId="4888" xr:uid="{E763C17B-4CD5-4400-A476-AB589FFF3325}"/>
    <cellStyle name="Millares 2 7 3 2" xfId="5173" xr:uid="{AD4C392F-3E5E-4788-86F0-C9586F576486}"/>
    <cellStyle name="Millares 2 7 4" xfId="4979" xr:uid="{A9570B16-E276-4942-8E46-353DE9FCB73D}"/>
    <cellStyle name="Millares 2 8" xfId="4615" xr:uid="{4A9C5AEF-8B49-4E86-8853-3BCFD00F928E}"/>
    <cellStyle name="Millares 2 8 2" xfId="4992" xr:uid="{9B3D85EE-17A0-438C-BAE2-79E3C3B4BD4B}"/>
    <cellStyle name="Millares 2 9" xfId="4372" xr:uid="{D3228EE2-22B0-4420-911C-A53613BA9035}"/>
    <cellStyle name="Millares 20" xfId="350" xr:uid="{00000000-0005-0000-0000-00005F060000}"/>
    <cellStyle name="Millares 20 10" xfId="4402" xr:uid="{6336B5F0-EFD9-4E57-BABC-801F9F66F12E}"/>
    <cellStyle name="Millares 20 2" xfId="471" xr:uid="{00000000-0005-0000-0000-000060060000}"/>
    <cellStyle name="Millares 20 2 2" xfId="699" xr:uid="{00000000-0005-0000-0000-000061060000}"/>
    <cellStyle name="Millares 20 2 2 2" xfId="1099" xr:uid="{00000000-0005-0000-0000-000062060000}"/>
    <cellStyle name="Millares 20 2 2 2 2" xfId="2682" xr:uid="{00000000-0005-0000-0000-000063060000}"/>
    <cellStyle name="Millares 20 2 2 2 2 2" xfId="4264" xr:uid="{00000000-0005-0000-0000-000064060000}"/>
    <cellStyle name="Millares 20 2 2 2 3" xfId="1891" xr:uid="{00000000-0005-0000-0000-000065060000}"/>
    <cellStyle name="Millares 20 2 2 2 4" xfId="3473" xr:uid="{00000000-0005-0000-0000-000066060000}"/>
    <cellStyle name="Millares 20 2 2 3" xfId="2288" xr:uid="{00000000-0005-0000-0000-000067060000}"/>
    <cellStyle name="Millares 20 2 2 3 2" xfId="3870" xr:uid="{00000000-0005-0000-0000-000068060000}"/>
    <cellStyle name="Millares 20 2 2 4" xfId="1497" xr:uid="{00000000-0005-0000-0000-000069060000}"/>
    <cellStyle name="Millares 20 2 2 5" xfId="3079" xr:uid="{00000000-0005-0000-0000-00006A060000}"/>
    <cellStyle name="Millares 20 2 3" xfId="878" xr:uid="{00000000-0005-0000-0000-00006B060000}"/>
    <cellStyle name="Millares 20 2 3 2" xfId="2461" xr:uid="{00000000-0005-0000-0000-00006C060000}"/>
    <cellStyle name="Millares 20 2 3 2 2" xfId="4043" xr:uid="{00000000-0005-0000-0000-00006D060000}"/>
    <cellStyle name="Millares 20 2 3 3" xfId="1670" xr:uid="{00000000-0005-0000-0000-00006E060000}"/>
    <cellStyle name="Millares 20 2 3 4" xfId="3252" xr:uid="{00000000-0005-0000-0000-00006F060000}"/>
    <cellStyle name="Millares 20 2 4" xfId="2067" xr:uid="{00000000-0005-0000-0000-000070060000}"/>
    <cellStyle name="Millares 20 2 4 2" xfId="3649" xr:uid="{00000000-0005-0000-0000-000071060000}"/>
    <cellStyle name="Millares 20 2 5" xfId="1276" xr:uid="{00000000-0005-0000-0000-000072060000}"/>
    <cellStyle name="Millares 20 2 6" xfId="2858" xr:uid="{00000000-0005-0000-0000-000073060000}"/>
    <cellStyle name="Millares 20 3" xfId="548" xr:uid="{00000000-0005-0000-0000-000074060000}"/>
    <cellStyle name="Millares 20 3 2" xfId="955" xr:uid="{00000000-0005-0000-0000-000075060000}"/>
    <cellStyle name="Millares 20 3 2 2" xfId="2538" xr:uid="{00000000-0005-0000-0000-000076060000}"/>
    <cellStyle name="Millares 20 3 2 2 2" xfId="4120" xr:uid="{00000000-0005-0000-0000-000077060000}"/>
    <cellStyle name="Millares 20 3 2 3" xfId="1747" xr:uid="{00000000-0005-0000-0000-000078060000}"/>
    <cellStyle name="Millares 20 3 2 4" xfId="3329" xr:uid="{00000000-0005-0000-0000-000079060000}"/>
    <cellStyle name="Millares 20 3 3" xfId="2144" xr:uid="{00000000-0005-0000-0000-00007A060000}"/>
    <cellStyle name="Millares 20 3 3 2" xfId="3726" xr:uid="{00000000-0005-0000-0000-00007B060000}"/>
    <cellStyle name="Millares 20 3 4" xfId="1353" xr:uid="{00000000-0005-0000-0000-00007C060000}"/>
    <cellStyle name="Millares 20 3 5" xfId="2935" xr:uid="{00000000-0005-0000-0000-00007D060000}"/>
    <cellStyle name="Millares 20 4" xfId="623" xr:uid="{00000000-0005-0000-0000-00007E060000}"/>
    <cellStyle name="Millares 20 4 2" xfId="1023" xr:uid="{00000000-0005-0000-0000-00007F060000}"/>
    <cellStyle name="Millares 20 4 2 2" xfId="2606" xr:uid="{00000000-0005-0000-0000-000080060000}"/>
    <cellStyle name="Millares 20 4 2 2 2" xfId="4188" xr:uid="{00000000-0005-0000-0000-000081060000}"/>
    <cellStyle name="Millares 20 4 2 3" xfId="1815" xr:uid="{00000000-0005-0000-0000-000082060000}"/>
    <cellStyle name="Millares 20 4 2 4" xfId="3397" xr:uid="{00000000-0005-0000-0000-000083060000}"/>
    <cellStyle name="Millares 20 4 3" xfId="2212" xr:uid="{00000000-0005-0000-0000-000084060000}"/>
    <cellStyle name="Millares 20 4 3 2" xfId="3794" xr:uid="{00000000-0005-0000-0000-000085060000}"/>
    <cellStyle name="Millares 20 4 4" xfId="1421" xr:uid="{00000000-0005-0000-0000-000086060000}"/>
    <cellStyle name="Millares 20 4 5" xfId="3003" xr:uid="{00000000-0005-0000-0000-000087060000}"/>
    <cellStyle name="Millares 20 5" xfId="802" xr:uid="{00000000-0005-0000-0000-000088060000}"/>
    <cellStyle name="Millares 20 5 2" xfId="2385" xr:uid="{00000000-0005-0000-0000-000089060000}"/>
    <cellStyle name="Millares 20 5 2 2" xfId="3967" xr:uid="{00000000-0005-0000-0000-00008A060000}"/>
    <cellStyle name="Millares 20 5 3" xfId="1594" xr:uid="{00000000-0005-0000-0000-00008B060000}"/>
    <cellStyle name="Millares 20 5 4" xfId="3176" xr:uid="{00000000-0005-0000-0000-00008C060000}"/>
    <cellStyle name="Millares 20 6" xfId="1991" xr:uid="{00000000-0005-0000-0000-00008D060000}"/>
    <cellStyle name="Millares 20 6 2" xfId="3573" xr:uid="{00000000-0005-0000-0000-00008E060000}"/>
    <cellStyle name="Millares 20 7" xfId="1200" xr:uid="{00000000-0005-0000-0000-00008F060000}"/>
    <cellStyle name="Millares 20 8" xfId="2782" xr:uid="{00000000-0005-0000-0000-000090060000}"/>
    <cellStyle name="Millares 20 9" xfId="4636" xr:uid="{CA84A48A-985B-43F7-B36A-21ED31B5220D}"/>
    <cellStyle name="Millares 20 9 2" xfId="5009" xr:uid="{344FBC92-C230-4372-BB1E-478530F95138}"/>
    <cellStyle name="Millares 21" xfId="361" xr:uid="{00000000-0005-0000-0000-000091060000}"/>
    <cellStyle name="Millares 21 2" xfId="479" xr:uid="{00000000-0005-0000-0000-000092060000}"/>
    <cellStyle name="Millares 21 2 2" xfId="707" xr:uid="{00000000-0005-0000-0000-000093060000}"/>
    <cellStyle name="Millares 21 2 2 2" xfId="1107" xr:uid="{00000000-0005-0000-0000-000094060000}"/>
    <cellStyle name="Millares 21 2 2 2 2" xfId="2690" xr:uid="{00000000-0005-0000-0000-000095060000}"/>
    <cellStyle name="Millares 21 2 2 2 2 2" xfId="4272" xr:uid="{00000000-0005-0000-0000-000096060000}"/>
    <cellStyle name="Millares 21 2 2 2 3" xfId="1899" xr:uid="{00000000-0005-0000-0000-000097060000}"/>
    <cellStyle name="Millares 21 2 2 2 4" xfId="3481" xr:uid="{00000000-0005-0000-0000-000098060000}"/>
    <cellStyle name="Millares 21 2 2 3" xfId="2296" xr:uid="{00000000-0005-0000-0000-000099060000}"/>
    <cellStyle name="Millares 21 2 2 3 2" xfId="3878" xr:uid="{00000000-0005-0000-0000-00009A060000}"/>
    <cellStyle name="Millares 21 2 2 4" xfId="1505" xr:uid="{00000000-0005-0000-0000-00009B060000}"/>
    <cellStyle name="Millares 21 2 2 5" xfId="3087" xr:uid="{00000000-0005-0000-0000-00009C060000}"/>
    <cellStyle name="Millares 21 2 3" xfId="886" xr:uid="{00000000-0005-0000-0000-00009D060000}"/>
    <cellStyle name="Millares 21 2 3 2" xfId="2469" xr:uid="{00000000-0005-0000-0000-00009E060000}"/>
    <cellStyle name="Millares 21 2 3 2 2" xfId="4051" xr:uid="{00000000-0005-0000-0000-00009F060000}"/>
    <cellStyle name="Millares 21 2 3 3" xfId="1678" xr:uid="{00000000-0005-0000-0000-0000A0060000}"/>
    <cellStyle name="Millares 21 2 3 4" xfId="3260" xr:uid="{00000000-0005-0000-0000-0000A1060000}"/>
    <cellStyle name="Millares 21 2 4" xfId="2075" xr:uid="{00000000-0005-0000-0000-0000A2060000}"/>
    <cellStyle name="Millares 21 2 4 2" xfId="3657" xr:uid="{00000000-0005-0000-0000-0000A3060000}"/>
    <cellStyle name="Millares 21 2 5" xfId="1284" xr:uid="{00000000-0005-0000-0000-0000A4060000}"/>
    <cellStyle name="Millares 21 2 6" xfId="2866" xr:uid="{00000000-0005-0000-0000-0000A5060000}"/>
    <cellStyle name="Millares 21 3" xfId="556" xr:uid="{00000000-0005-0000-0000-0000A6060000}"/>
    <cellStyle name="Millares 21 3 2" xfId="963" xr:uid="{00000000-0005-0000-0000-0000A7060000}"/>
    <cellStyle name="Millares 21 3 2 2" xfId="2546" xr:uid="{00000000-0005-0000-0000-0000A8060000}"/>
    <cellStyle name="Millares 21 3 2 2 2" xfId="4128" xr:uid="{00000000-0005-0000-0000-0000A9060000}"/>
    <cellStyle name="Millares 21 3 2 3" xfId="1755" xr:uid="{00000000-0005-0000-0000-0000AA060000}"/>
    <cellStyle name="Millares 21 3 2 4" xfId="3337" xr:uid="{00000000-0005-0000-0000-0000AB060000}"/>
    <cellStyle name="Millares 21 3 3" xfId="2152" xr:uid="{00000000-0005-0000-0000-0000AC060000}"/>
    <cellStyle name="Millares 21 3 3 2" xfId="3734" xr:uid="{00000000-0005-0000-0000-0000AD060000}"/>
    <cellStyle name="Millares 21 3 4" xfId="1361" xr:uid="{00000000-0005-0000-0000-0000AE060000}"/>
    <cellStyle name="Millares 21 3 5" xfId="2943" xr:uid="{00000000-0005-0000-0000-0000AF060000}"/>
    <cellStyle name="Millares 21 4" xfId="631" xr:uid="{00000000-0005-0000-0000-0000B0060000}"/>
    <cellStyle name="Millares 21 4 2" xfId="1031" xr:uid="{00000000-0005-0000-0000-0000B1060000}"/>
    <cellStyle name="Millares 21 4 2 2" xfId="2614" xr:uid="{00000000-0005-0000-0000-0000B2060000}"/>
    <cellStyle name="Millares 21 4 2 2 2" xfId="4196" xr:uid="{00000000-0005-0000-0000-0000B3060000}"/>
    <cellStyle name="Millares 21 4 2 3" xfId="1823" xr:uid="{00000000-0005-0000-0000-0000B4060000}"/>
    <cellStyle name="Millares 21 4 2 4" xfId="3405" xr:uid="{00000000-0005-0000-0000-0000B5060000}"/>
    <cellStyle name="Millares 21 4 3" xfId="2220" xr:uid="{00000000-0005-0000-0000-0000B6060000}"/>
    <cellStyle name="Millares 21 4 3 2" xfId="3802" xr:uid="{00000000-0005-0000-0000-0000B7060000}"/>
    <cellStyle name="Millares 21 4 4" xfId="1429" xr:uid="{00000000-0005-0000-0000-0000B8060000}"/>
    <cellStyle name="Millares 21 4 5" xfId="3011" xr:uid="{00000000-0005-0000-0000-0000B9060000}"/>
    <cellStyle name="Millares 21 5" xfId="810" xr:uid="{00000000-0005-0000-0000-0000BA060000}"/>
    <cellStyle name="Millares 21 5 2" xfId="2393" xr:uid="{00000000-0005-0000-0000-0000BB060000}"/>
    <cellStyle name="Millares 21 5 2 2" xfId="3975" xr:uid="{00000000-0005-0000-0000-0000BC060000}"/>
    <cellStyle name="Millares 21 5 3" xfId="1602" xr:uid="{00000000-0005-0000-0000-0000BD060000}"/>
    <cellStyle name="Millares 21 5 4" xfId="3184" xr:uid="{00000000-0005-0000-0000-0000BE060000}"/>
    <cellStyle name="Millares 21 6" xfId="1999" xr:uid="{00000000-0005-0000-0000-0000BF060000}"/>
    <cellStyle name="Millares 21 6 2" xfId="3581" xr:uid="{00000000-0005-0000-0000-0000C0060000}"/>
    <cellStyle name="Millares 21 7" xfId="1208" xr:uid="{00000000-0005-0000-0000-0000C1060000}"/>
    <cellStyle name="Millares 21 8" xfId="2790" xr:uid="{00000000-0005-0000-0000-0000C2060000}"/>
    <cellStyle name="Millares 22" xfId="357" xr:uid="{00000000-0005-0000-0000-0000C3060000}"/>
    <cellStyle name="Millares 22 2" xfId="478" xr:uid="{00000000-0005-0000-0000-0000C4060000}"/>
    <cellStyle name="Millares 22 2 2" xfId="706" xr:uid="{00000000-0005-0000-0000-0000C5060000}"/>
    <cellStyle name="Millares 22 2 2 2" xfId="1106" xr:uid="{00000000-0005-0000-0000-0000C6060000}"/>
    <cellStyle name="Millares 22 2 2 2 2" xfId="2689" xr:uid="{00000000-0005-0000-0000-0000C7060000}"/>
    <cellStyle name="Millares 22 2 2 2 2 2" xfId="4271" xr:uid="{00000000-0005-0000-0000-0000C8060000}"/>
    <cellStyle name="Millares 22 2 2 2 3" xfId="1898" xr:uid="{00000000-0005-0000-0000-0000C9060000}"/>
    <cellStyle name="Millares 22 2 2 2 4" xfId="3480" xr:uid="{00000000-0005-0000-0000-0000CA060000}"/>
    <cellStyle name="Millares 22 2 2 3" xfId="2295" xr:uid="{00000000-0005-0000-0000-0000CB060000}"/>
    <cellStyle name="Millares 22 2 2 3 2" xfId="3877" xr:uid="{00000000-0005-0000-0000-0000CC060000}"/>
    <cellStyle name="Millares 22 2 2 4" xfId="1504" xr:uid="{00000000-0005-0000-0000-0000CD060000}"/>
    <cellStyle name="Millares 22 2 2 5" xfId="3086" xr:uid="{00000000-0005-0000-0000-0000CE060000}"/>
    <cellStyle name="Millares 22 2 3" xfId="885" xr:uid="{00000000-0005-0000-0000-0000CF060000}"/>
    <cellStyle name="Millares 22 2 3 2" xfId="2468" xr:uid="{00000000-0005-0000-0000-0000D0060000}"/>
    <cellStyle name="Millares 22 2 3 2 2" xfId="4050" xr:uid="{00000000-0005-0000-0000-0000D1060000}"/>
    <cellStyle name="Millares 22 2 3 3" xfId="1677" xr:uid="{00000000-0005-0000-0000-0000D2060000}"/>
    <cellStyle name="Millares 22 2 3 4" xfId="3259" xr:uid="{00000000-0005-0000-0000-0000D3060000}"/>
    <cellStyle name="Millares 22 2 4" xfId="2074" xr:uid="{00000000-0005-0000-0000-0000D4060000}"/>
    <cellStyle name="Millares 22 2 4 2" xfId="3656" xr:uid="{00000000-0005-0000-0000-0000D5060000}"/>
    <cellStyle name="Millares 22 2 5" xfId="1283" xr:uid="{00000000-0005-0000-0000-0000D6060000}"/>
    <cellStyle name="Millares 22 2 6" xfId="2865" xr:uid="{00000000-0005-0000-0000-0000D7060000}"/>
    <cellStyle name="Millares 22 3" xfId="555" xr:uid="{00000000-0005-0000-0000-0000D8060000}"/>
    <cellStyle name="Millares 22 3 2" xfId="962" xr:uid="{00000000-0005-0000-0000-0000D9060000}"/>
    <cellStyle name="Millares 22 3 2 2" xfId="2545" xr:uid="{00000000-0005-0000-0000-0000DA060000}"/>
    <cellStyle name="Millares 22 3 2 2 2" xfId="4127" xr:uid="{00000000-0005-0000-0000-0000DB060000}"/>
    <cellStyle name="Millares 22 3 2 3" xfId="1754" xr:uid="{00000000-0005-0000-0000-0000DC060000}"/>
    <cellStyle name="Millares 22 3 2 4" xfId="3336" xr:uid="{00000000-0005-0000-0000-0000DD060000}"/>
    <cellStyle name="Millares 22 3 3" xfId="2151" xr:uid="{00000000-0005-0000-0000-0000DE060000}"/>
    <cellStyle name="Millares 22 3 3 2" xfId="3733" xr:uid="{00000000-0005-0000-0000-0000DF060000}"/>
    <cellStyle name="Millares 22 3 4" xfId="1360" xr:uid="{00000000-0005-0000-0000-0000E0060000}"/>
    <cellStyle name="Millares 22 3 5" xfId="2942" xr:uid="{00000000-0005-0000-0000-0000E1060000}"/>
    <cellStyle name="Millares 22 4" xfId="630" xr:uid="{00000000-0005-0000-0000-0000E2060000}"/>
    <cellStyle name="Millares 22 4 2" xfId="1030" xr:uid="{00000000-0005-0000-0000-0000E3060000}"/>
    <cellStyle name="Millares 22 4 2 2" xfId="2613" xr:uid="{00000000-0005-0000-0000-0000E4060000}"/>
    <cellStyle name="Millares 22 4 2 2 2" xfId="4195" xr:uid="{00000000-0005-0000-0000-0000E5060000}"/>
    <cellStyle name="Millares 22 4 2 3" xfId="1822" xr:uid="{00000000-0005-0000-0000-0000E6060000}"/>
    <cellStyle name="Millares 22 4 2 4" xfId="3404" xr:uid="{00000000-0005-0000-0000-0000E7060000}"/>
    <cellStyle name="Millares 22 4 3" xfId="2219" xr:uid="{00000000-0005-0000-0000-0000E8060000}"/>
    <cellStyle name="Millares 22 4 3 2" xfId="3801" xr:uid="{00000000-0005-0000-0000-0000E9060000}"/>
    <cellStyle name="Millares 22 4 4" xfId="1428" xr:uid="{00000000-0005-0000-0000-0000EA060000}"/>
    <cellStyle name="Millares 22 4 5" xfId="3010" xr:uid="{00000000-0005-0000-0000-0000EB060000}"/>
    <cellStyle name="Millares 22 5" xfId="809" xr:uid="{00000000-0005-0000-0000-0000EC060000}"/>
    <cellStyle name="Millares 22 5 2" xfId="2392" xr:uid="{00000000-0005-0000-0000-0000ED060000}"/>
    <cellStyle name="Millares 22 5 2 2" xfId="3974" xr:uid="{00000000-0005-0000-0000-0000EE060000}"/>
    <cellStyle name="Millares 22 5 3" xfId="1601" xr:uid="{00000000-0005-0000-0000-0000EF060000}"/>
    <cellStyle name="Millares 22 5 4" xfId="3183" xr:uid="{00000000-0005-0000-0000-0000F0060000}"/>
    <cellStyle name="Millares 22 6" xfId="1998" xr:uid="{00000000-0005-0000-0000-0000F1060000}"/>
    <cellStyle name="Millares 22 6 2" xfId="3580" xr:uid="{00000000-0005-0000-0000-0000F2060000}"/>
    <cellStyle name="Millares 22 7" xfId="1207" xr:uid="{00000000-0005-0000-0000-0000F3060000}"/>
    <cellStyle name="Millares 22 8" xfId="2789" xr:uid="{00000000-0005-0000-0000-0000F4060000}"/>
    <cellStyle name="Millares 23" xfId="433" xr:uid="{00000000-0005-0000-0000-0000F5060000}"/>
    <cellStyle name="Millares 23 2" xfId="509" xr:uid="{00000000-0005-0000-0000-0000F6060000}"/>
    <cellStyle name="Millares 23 2 2" xfId="737" xr:uid="{00000000-0005-0000-0000-0000F7060000}"/>
    <cellStyle name="Millares 23 2 2 2" xfId="1137" xr:uid="{00000000-0005-0000-0000-0000F8060000}"/>
    <cellStyle name="Millares 23 2 2 2 2" xfId="2720" xr:uid="{00000000-0005-0000-0000-0000F9060000}"/>
    <cellStyle name="Millares 23 2 2 2 2 2" xfId="4302" xr:uid="{00000000-0005-0000-0000-0000FA060000}"/>
    <cellStyle name="Millares 23 2 2 2 3" xfId="1929" xr:uid="{00000000-0005-0000-0000-0000FB060000}"/>
    <cellStyle name="Millares 23 2 2 2 4" xfId="3511" xr:uid="{00000000-0005-0000-0000-0000FC060000}"/>
    <cellStyle name="Millares 23 2 2 3" xfId="2326" xr:uid="{00000000-0005-0000-0000-0000FD060000}"/>
    <cellStyle name="Millares 23 2 2 3 2" xfId="3908" xr:uid="{00000000-0005-0000-0000-0000FE060000}"/>
    <cellStyle name="Millares 23 2 2 4" xfId="1535" xr:uid="{00000000-0005-0000-0000-0000FF060000}"/>
    <cellStyle name="Millares 23 2 2 5" xfId="3117" xr:uid="{00000000-0005-0000-0000-000000070000}"/>
    <cellStyle name="Millares 23 2 3" xfId="916" xr:uid="{00000000-0005-0000-0000-000001070000}"/>
    <cellStyle name="Millares 23 2 3 2" xfId="2499" xr:uid="{00000000-0005-0000-0000-000002070000}"/>
    <cellStyle name="Millares 23 2 3 2 2" xfId="4081" xr:uid="{00000000-0005-0000-0000-000003070000}"/>
    <cellStyle name="Millares 23 2 3 3" xfId="1708" xr:uid="{00000000-0005-0000-0000-000004070000}"/>
    <cellStyle name="Millares 23 2 3 4" xfId="3290" xr:uid="{00000000-0005-0000-0000-000005070000}"/>
    <cellStyle name="Millares 23 2 4" xfId="2105" xr:uid="{00000000-0005-0000-0000-000006070000}"/>
    <cellStyle name="Millares 23 2 4 2" xfId="3687" xr:uid="{00000000-0005-0000-0000-000007070000}"/>
    <cellStyle name="Millares 23 2 5" xfId="1314" xr:uid="{00000000-0005-0000-0000-000008070000}"/>
    <cellStyle name="Millares 23 2 6" xfId="2896" xr:uid="{00000000-0005-0000-0000-000009070000}"/>
    <cellStyle name="Millares 23 3" xfId="586" xr:uid="{00000000-0005-0000-0000-00000A070000}"/>
    <cellStyle name="Millares 23 3 2" xfId="993" xr:uid="{00000000-0005-0000-0000-00000B070000}"/>
    <cellStyle name="Millares 23 3 2 2" xfId="2576" xr:uid="{00000000-0005-0000-0000-00000C070000}"/>
    <cellStyle name="Millares 23 3 2 2 2" xfId="4158" xr:uid="{00000000-0005-0000-0000-00000D070000}"/>
    <cellStyle name="Millares 23 3 2 3" xfId="1785" xr:uid="{00000000-0005-0000-0000-00000E070000}"/>
    <cellStyle name="Millares 23 3 2 4" xfId="3367" xr:uid="{00000000-0005-0000-0000-00000F070000}"/>
    <cellStyle name="Millares 23 3 3" xfId="2182" xr:uid="{00000000-0005-0000-0000-000010070000}"/>
    <cellStyle name="Millares 23 3 3 2" xfId="3764" xr:uid="{00000000-0005-0000-0000-000011070000}"/>
    <cellStyle name="Millares 23 3 4" xfId="1391" xr:uid="{00000000-0005-0000-0000-000012070000}"/>
    <cellStyle name="Millares 23 3 5" xfId="2973" xr:uid="{00000000-0005-0000-0000-000013070000}"/>
    <cellStyle name="Millares 23 4" xfId="661" xr:uid="{00000000-0005-0000-0000-000014070000}"/>
    <cellStyle name="Millares 23 4 2" xfId="1061" xr:uid="{00000000-0005-0000-0000-000015070000}"/>
    <cellStyle name="Millares 23 4 2 2" xfId="2644" xr:uid="{00000000-0005-0000-0000-000016070000}"/>
    <cellStyle name="Millares 23 4 2 2 2" xfId="4226" xr:uid="{00000000-0005-0000-0000-000017070000}"/>
    <cellStyle name="Millares 23 4 2 3" xfId="1853" xr:uid="{00000000-0005-0000-0000-000018070000}"/>
    <cellStyle name="Millares 23 4 2 4" xfId="3435" xr:uid="{00000000-0005-0000-0000-000019070000}"/>
    <cellStyle name="Millares 23 4 3" xfId="2250" xr:uid="{00000000-0005-0000-0000-00001A070000}"/>
    <cellStyle name="Millares 23 4 3 2" xfId="3832" xr:uid="{00000000-0005-0000-0000-00001B070000}"/>
    <cellStyle name="Millares 23 4 4" xfId="1459" xr:uid="{00000000-0005-0000-0000-00001C070000}"/>
    <cellStyle name="Millares 23 4 5" xfId="3041" xr:uid="{00000000-0005-0000-0000-00001D070000}"/>
    <cellStyle name="Millares 23 5" xfId="840" xr:uid="{00000000-0005-0000-0000-00001E070000}"/>
    <cellStyle name="Millares 23 5 2" xfId="2423" xr:uid="{00000000-0005-0000-0000-00001F070000}"/>
    <cellStyle name="Millares 23 5 2 2" xfId="4005" xr:uid="{00000000-0005-0000-0000-000020070000}"/>
    <cellStyle name="Millares 23 5 3" xfId="1632" xr:uid="{00000000-0005-0000-0000-000021070000}"/>
    <cellStyle name="Millares 23 5 4" xfId="3214" xr:uid="{00000000-0005-0000-0000-000022070000}"/>
    <cellStyle name="Millares 23 6" xfId="2029" xr:uid="{00000000-0005-0000-0000-000023070000}"/>
    <cellStyle name="Millares 23 6 2" xfId="3611" xr:uid="{00000000-0005-0000-0000-000024070000}"/>
    <cellStyle name="Millares 23 7" xfId="1238" xr:uid="{00000000-0005-0000-0000-000025070000}"/>
    <cellStyle name="Millares 23 8" xfId="2820" xr:uid="{00000000-0005-0000-0000-000026070000}"/>
    <cellStyle name="Millares 24" xfId="363" xr:uid="{00000000-0005-0000-0000-000027070000}"/>
    <cellStyle name="Millares 24 2" xfId="481" xr:uid="{00000000-0005-0000-0000-000028070000}"/>
    <cellStyle name="Millares 24 2 2" xfId="709" xr:uid="{00000000-0005-0000-0000-000029070000}"/>
    <cellStyle name="Millares 24 2 2 2" xfId="1109" xr:uid="{00000000-0005-0000-0000-00002A070000}"/>
    <cellStyle name="Millares 24 2 2 2 2" xfId="2692" xr:uid="{00000000-0005-0000-0000-00002B070000}"/>
    <cellStyle name="Millares 24 2 2 2 2 2" xfId="4274" xr:uid="{00000000-0005-0000-0000-00002C070000}"/>
    <cellStyle name="Millares 24 2 2 2 3" xfId="1901" xr:uid="{00000000-0005-0000-0000-00002D070000}"/>
    <cellStyle name="Millares 24 2 2 2 4" xfId="3483" xr:uid="{00000000-0005-0000-0000-00002E070000}"/>
    <cellStyle name="Millares 24 2 2 3" xfId="2298" xr:uid="{00000000-0005-0000-0000-00002F070000}"/>
    <cellStyle name="Millares 24 2 2 3 2" xfId="3880" xr:uid="{00000000-0005-0000-0000-000030070000}"/>
    <cellStyle name="Millares 24 2 2 4" xfId="1507" xr:uid="{00000000-0005-0000-0000-000031070000}"/>
    <cellStyle name="Millares 24 2 2 5" xfId="3089" xr:uid="{00000000-0005-0000-0000-000032070000}"/>
    <cellStyle name="Millares 24 2 3" xfId="888" xr:uid="{00000000-0005-0000-0000-000033070000}"/>
    <cellStyle name="Millares 24 2 3 2" xfId="2471" xr:uid="{00000000-0005-0000-0000-000034070000}"/>
    <cellStyle name="Millares 24 2 3 2 2" xfId="4053" xr:uid="{00000000-0005-0000-0000-000035070000}"/>
    <cellStyle name="Millares 24 2 3 3" xfId="1680" xr:uid="{00000000-0005-0000-0000-000036070000}"/>
    <cellStyle name="Millares 24 2 3 4" xfId="3262" xr:uid="{00000000-0005-0000-0000-000037070000}"/>
    <cellStyle name="Millares 24 2 4" xfId="2077" xr:uid="{00000000-0005-0000-0000-000038070000}"/>
    <cellStyle name="Millares 24 2 4 2" xfId="3659" xr:uid="{00000000-0005-0000-0000-000039070000}"/>
    <cellStyle name="Millares 24 2 5" xfId="1286" xr:uid="{00000000-0005-0000-0000-00003A070000}"/>
    <cellStyle name="Millares 24 2 6" xfId="2868" xr:uid="{00000000-0005-0000-0000-00003B070000}"/>
    <cellStyle name="Millares 24 3" xfId="558" xr:uid="{00000000-0005-0000-0000-00003C070000}"/>
    <cellStyle name="Millares 24 3 2" xfId="965" xr:uid="{00000000-0005-0000-0000-00003D070000}"/>
    <cellStyle name="Millares 24 3 2 2" xfId="2548" xr:uid="{00000000-0005-0000-0000-00003E070000}"/>
    <cellStyle name="Millares 24 3 2 2 2" xfId="4130" xr:uid="{00000000-0005-0000-0000-00003F070000}"/>
    <cellStyle name="Millares 24 3 2 3" xfId="1757" xr:uid="{00000000-0005-0000-0000-000040070000}"/>
    <cellStyle name="Millares 24 3 2 4" xfId="3339" xr:uid="{00000000-0005-0000-0000-000041070000}"/>
    <cellStyle name="Millares 24 3 3" xfId="2154" xr:uid="{00000000-0005-0000-0000-000042070000}"/>
    <cellStyle name="Millares 24 3 3 2" xfId="3736" xr:uid="{00000000-0005-0000-0000-000043070000}"/>
    <cellStyle name="Millares 24 3 4" xfId="1363" xr:uid="{00000000-0005-0000-0000-000044070000}"/>
    <cellStyle name="Millares 24 3 5" xfId="2945" xr:uid="{00000000-0005-0000-0000-000045070000}"/>
    <cellStyle name="Millares 24 4" xfId="633" xr:uid="{00000000-0005-0000-0000-000046070000}"/>
    <cellStyle name="Millares 24 4 2" xfId="1033" xr:uid="{00000000-0005-0000-0000-000047070000}"/>
    <cellStyle name="Millares 24 4 2 2" xfId="2616" xr:uid="{00000000-0005-0000-0000-000048070000}"/>
    <cellStyle name="Millares 24 4 2 2 2" xfId="4198" xr:uid="{00000000-0005-0000-0000-000049070000}"/>
    <cellStyle name="Millares 24 4 2 3" xfId="1825" xr:uid="{00000000-0005-0000-0000-00004A070000}"/>
    <cellStyle name="Millares 24 4 2 4" xfId="3407" xr:uid="{00000000-0005-0000-0000-00004B070000}"/>
    <cellStyle name="Millares 24 4 3" xfId="2222" xr:uid="{00000000-0005-0000-0000-00004C070000}"/>
    <cellStyle name="Millares 24 4 3 2" xfId="3804" xr:uid="{00000000-0005-0000-0000-00004D070000}"/>
    <cellStyle name="Millares 24 4 4" xfId="1431" xr:uid="{00000000-0005-0000-0000-00004E070000}"/>
    <cellStyle name="Millares 24 4 5" xfId="3013" xr:uid="{00000000-0005-0000-0000-00004F070000}"/>
    <cellStyle name="Millares 24 5" xfId="812" xr:uid="{00000000-0005-0000-0000-000050070000}"/>
    <cellStyle name="Millares 24 5 2" xfId="2395" xr:uid="{00000000-0005-0000-0000-000051070000}"/>
    <cellStyle name="Millares 24 5 2 2" xfId="3977" xr:uid="{00000000-0005-0000-0000-000052070000}"/>
    <cellStyle name="Millares 24 5 3" xfId="1604" xr:uid="{00000000-0005-0000-0000-000053070000}"/>
    <cellStyle name="Millares 24 5 4" xfId="3186" xr:uid="{00000000-0005-0000-0000-000054070000}"/>
    <cellStyle name="Millares 24 6" xfId="2001" xr:uid="{00000000-0005-0000-0000-000055070000}"/>
    <cellStyle name="Millares 24 6 2" xfId="3583" xr:uid="{00000000-0005-0000-0000-000056070000}"/>
    <cellStyle name="Millares 24 7" xfId="1210" xr:uid="{00000000-0005-0000-0000-000057070000}"/>
    <cellStyle name="Millares 24 8" xfId="2792" xr:uid="{00000000-0005-0000-0000-000058070000}"/>
    <cellStyle name="Millares 25" xfId="354" xr:uid="{00000000-0005-0000-0000-000059070000}"/>
    <cellStyle name="Millares 25 10" xfId="4445" xr:uid="{FA06D671-B739-4760-92A6-24CCACD90C48}"/>
    <cellStyle name="Millares 25 2" xfId="475" xr:uid="{00000000-0005-0000-0000-00005A070000}"/>
    <cellStyle name="Millares 25 2 2" xfId="703" xr:uid="{00000000-0005-0000-0000-00005B070000}"/>
    <cellStyle name="Millares 25 2 2 2" xfId="1103" xr:uid="{00000000-0005-0000-0000-00005C070000}"/>
    <cellStyle name="Millares 25 2 2 2 2" xfId="2686" xr:uid="{00000000-0005-0000-0000-00005D070000}"/>
    <cellStyle name="Millares 25 2 2 2 2 2" xfId="4268" xr:uid="{00000000-0005-0000-0000-00005E070000}"/>
    <cellStyle name="Millares 25 2 2 2 3" xfId="1895" xr:uid="{00000000-0005-0000-0000-00005F070000}"/>
    <cellStyle name="Millares 25 2 2 2 4" xfId="3477" xr:uid="{00000000-0005-0000-0000-000060070000}"/>
    <cellStyle name="Millares 25 2 2 3" xfId="2292" xr:uid="{00000000-0005-0000-0000-000061070000}"/>
    <cellStyle name="Millares 25 2 2 3 2" xfId="3874" xr:uid="{00000000-0005-0000-0000-000062070000}"/>
    <cellStyle name="Millares 25 2 2 4" xfId="1501" xr:uid="{00000000-0005-0000-0000-000063070000}"/>
    <cellStyle name="Millares 25 2 2 5" xfId="3083" xr:uid="{00000000-0005-0000-0000-000064070000}"/>
    <cellStyle name="Millares 25 2 3" xfId="882" xr:uid="{00000000-0005-0000-0000-000065070000}"/>
    <cellStyle name="Millares 25 2 3 2" xfId="2465" xr:uid="{00000000-0005-0000-0000-000066070000}"/>
    <cellStyle name="Millares 25 2 3 2 2" xfId="4047" xr:uid="{00000000-0005-0000-0000-000067070000}"/>
    <cellStyle name="Millares 25 2 3 3" xfId="1674" xr:uid="{00000000-0005-0000-0000-000068070000}"/>
    <cellStyle name="Millares 25 2 3 4" xfId="3256" xr:uid="{00000000-0005-0000-0000-000069070000}"/>
    <cellStyle name="Millares 25 2 4" xfId="2071" xr:uid="{00000000-0005-0000-0000-00006A070000}"/>
    <cellStyle name="Millares 25 2 4 2" xfId="3653" xr:uid="{00000000-0005-0000-0000-00006B070000}"/>
    <cellStyle name="Millares 25 2 5" xfId="1280" xr:uid="{00000000-0005-0000-0000-00006C070000}"/>
    <cellStyle name="Millares 25 2 6" xfId="2862" xr:uid="{00000000-0005-0000-0000-00006D070000}"/>
    <cellStyle name="Millares 25 2 7" xfId="4589" xr:uid="{4F9807D4-93CE-411C-AC83-CC100B3037BE}"/>
    <cellStyle name="Millares 25 2 8" xfId="4470" xr:uid="{AC0483AD-2D57-431C-AEFF-80E07E30DADE}"/>
    <cellStyle name="Millares 25 3" xfId="552" xr:uid="{00000000-0005-0000-0000-00006E070000}"/>
    <cellStyle name="Millares 25 3 2" xfId="959" xr:uid="{00000000-0005-0000-0000-00006F070000}"/>
    <cellStyle name="Millares 25 3 2 2" xfId="2542" xr:uid="{00000000-0005-0000-0000-000070070000}"/>
    <cellStyle name="Millares 25 3 2 2 2" xfId="4124" xr:uid="{00000000-0005-0000-0000-000071070000}"/>
    <cellStyle name="Millares 25 3 2 3" xfId="1751" xr:uid="{00000000-0005-0000-0000-000072070000}"/>
    <cellStyle name="Millares 25 3 2 4" xfId="3333" xr:uid="{00000000-0005-0000-0000-000073070000}"/>
    <cellStyle name="Millares 25 3 3" xfId="2148" xr:uid="{00000000-0005-0000-0000-000074070000}"/>
    <cellStyle name="Millares 25 3 3 2" xfId="3730" xr:uid="{00000000-0005-0000-0000-000075070000}"/>
    <cellStyle name="Millares 25 3 4" xfId="1357" xr:uid="{00000000-0005-0000-0000-000076070000}"/>
    <cellStyle name="Millares 25 3 5" xfId="2939" xr:uid="{00000000-0005-0000-0000-000077070000}"/>
    <cellStyle name="Millares 25 4" xfId="627" xr:uid="{00000000-0005-0000-0000-000078070000}"/>
    <cellStyle name="Millares 25 4 2" xfId="1027" xr:uid="{00000000-0005-0000-0000-000079070000}"/>
    <cellStyle name="Millares 25 4 2 2" xfId="2610" xr:uid="{00000000-0005-0000-0000-00007A070000}"/>
    <cellStyle name="Millares 25 4 2 2 2" xfId="4192" xr:uid="{00000000-0005-0000-0000-00007B070000}"/>
    <cellStyle name="Millares 25 4 2 3" xfId="1819" xr:uid="{00000000-0005-0000-0000-00007C070000}"/>
    <cellStyle name="Millares 25 4 2 4" xfId="3401" xr:uid="{00000000-0005-0000-0000-00007D070000}"/>
    <cellStyle name="Millares 25 4 3" xfId="2216" xr:uid="{00000000-0005-0000-0000-00007E070000}"/>
    <cellStyle name="Millares 25 4 3 2" xfId="3798" xr:uid="{00000000-0005-0000-0000-00007F070000}"/>
    <cellStyle name="Millares 25 4 4" xfId="1425" xr:uid="{00000000-0005-0000-0000-000080070000}"/>
    <cellStyle name="Millares 25 4 5" xfId="3007" xr:uid="{00000000-0005-0000-0000-000081070000}"/>
    <cellStyle name="Millares 25 5" xfId="806" xr:uid="{00000000-0005-0000-0000-000082070000}"/>
    <cellStyle name="Millares 25 5 2" xfId="2389" xr:uid="{00000000-0005-0000-0000-000083070000}"/>
    <cellStyle name="Millares 25 5 2 2" xfId="3971" xr:uid="{00000000-0005-0000-0000-000084070000}"/>
    <cellStyle name="Millares 25 5 3" xfId="1598" xr:uid="{00000000-0005-0000-0000-000085070000}"/>
    <cellStyle name="Millares 25 5 4" xfId="3180" xr:uid="{00000000-0005-0000-0000-000086070000}"/>
    <cellStyle name="Millares 25 6" xfId="1995" xr:uid="{00000000-0005-0000-0000-000087070000}"/>
    <cellStyle name="Millares 25 6 2" xfId="3577" xr:uid="{00000000-0005-0000-0000-000088070000}"/>
    <cellStyle name="Millares 25 7" xfId="1204" xr:uid="{00000000-0005-0000-0000-000089070000}"/>
    <cellStyle name="Millares 25 8" xfId="2786" xr:uid="{00000000-0005-0000-0000-00008A070000}"/>
    <cellStyle name="Millares 25 9" xfId="4590" xr:uid="{85B1CA1C-1629-4F41-8E01-050A1A8F9E0D}"/>
    <cellStyle name="Millares 26" xfId="434" xr:uid="{00000000-0005-0000-0000-00008B070000}"/>
    <cellStyle name="Millares 26 2" xfId="510" xr:uid="{00000000-0005-0000-0000-00008C070000}"/>
    <cellStyle name="Millares 26 2 2" xfId="738" xr:uid="{00000000-0005-0000-0000-00008D070000}"/>
    <cellStyle name="Millares 26 2 2 2" xfId="1138" xr:uid="{00000000-0005-0000-0000-00008E070000}"/>
    <cellStyle name="Millares 26 2 2 2 2" xfId="2721" xr:uid="{00000000-0005-0000-0000-00008F070000}"/>
    <cellStyle name="Millares 26 2 2 2 2 2" xfId="4303" xr:uid="{00000000-0005-0000-0000-000090070000}"/>
    <cellStyle name="Millares 26 2 2 2 3" xfId="1930" xr:uid="{00000000-0005-0000-0000-000091070000}"/>
    <cellStyle name="Millares 26 2 2 2 4" xfId="3512" xr:uid="{00000000-0005-0000-0000-000092070000}"/>
    <cellStyle name="Millares 26 2 2 3" xfId="2327" xr:uid="{00000000-0005-0000-0000-000093070000}"/>
    <cellStyle name="Millares 26 2 2 3 2" xfId="3909" xr:uid="{00000000-0005-0000-0000-000094070000}"/>
    <cellStyle name="Millares 26 2 2 4" xfId="1536" xr:uid="{00000000-0005-0000-0000-000095070000}"/>
    <cellStyle name="Millares 26 2 2 5" xfId="3118" xr:uid="{00000000-0005-0000-0000-000096070000}"/>
    <cellStyle name="Millares 26 2 3" xfId="917" xr:uid="{00000000-0005-0000-0000-000097070000}"/>
    <cellStyle name="Millares 26 2 3 2" xfId="2500" xr:uid="{00000000-0005-0000-0000-000098070000}"/>
    <cellStyle name="Millares 26 2 3 2 2" xfId="4082" xr:uid="{00000000-0005-0000-0000-000099070000}"/>
    <cellStyle name="Millares 26 2 3 3" xfId="1709" xr:uid="{00000000-0005-0000-0000-00009A070000}"/>
    <cellStyle name="Millares 26 2 3 4" xfId="3291" xr:uid="{00000000-0005-0000-0000-00009B070000}"/>
    <cellStyle name="Millares 26 2 4" xfId="2106" xr:uid="{00000000-0005-0000-0000-00009C070000}"/>
    <cellStyle name="Millares 26 2 4 2" xfId="3688" xr:uid="{00000000-0005-0000-0000-00009D070000}"/>
    <cellStyle name="Millares 26 2 5" xfId="1315" xr:uid="{00000000-0005-0000-0000-00009E070000}"/>
    <cellStyle name="Millares 26 2 6" xfId="2897" xr:uid="{00000000-0005-0000-0000-00009F070000}"/>
    <cellStyle name="Millares 26 3" xfId="587" xr:uid="{00000000-0005-0000-0000-0000A0070000}"/>
    <cellStyle name="Millares 26 3 2" xfId="994" xr:uid="{00000000-0005-0000-0000-0000A1070000}"/>
    <cellStyle name="Millares 26 3 2 2" xfId="2577" xr:uid="{00000000-0005-0000-0000-0000A2070000}"/>
    <cellStyle name="Millares 26 3 2 2 2" xfId="4159" xr:uid="{00000000-0005-0000-0000-0000A3070000}"/>
    <cellStyle name="Millares 26 3 2 3" xfId="1786" xr:uid="{00000000-0005-0000-0000-0000A4070000}"/>
    <cellStyle name="Millares 26 3 2 4" xfId="3368" xr:uid="{00000000-0005-0000-0000-0000A5070000}"/>
    <cellStyle name="Millares 26 3 3" xfId="2183" xr:uid="{00000000-0005-0000-0000-0000A6070000}"/>
    <cellStyle name="Millares 26 3 3 2" xfId="3765" xr:uid="{00000000-0005-0000-0000-0000A7070000}"/>
    <cellStyle name="Millares 26 3 4" xfId="1392" xr:uid="{00000000-0005-0000-0000-0000A8070000}"/>
    <cellStyle name="Millares 26 3 5" xfId="2974" xr:uid="{00000000-0005-0000-0000-0000A9070000}"/>
    <cellStyle name="Millares 26 4" xfId="662" xr:uid="{00000000-0005-0000-0000-0000AA070000}"/>
    <cellStyle name="Millares 26 4 2" xfId="1062" xr:uid="{00000000-0005-0000-0000-0000AB070000}"/>
    <cellStyle name="Millares 26 4 2 2" xfId="2645" xr:uid="{00000000-0005-0000-0000-0000AC070000}"/>
    <cellStyle name="Millares 26 4 2 2 2" xfId="4227" xr:uid="{00000000-0005-0000-0000-0000AD070000}"/>
    <cellStyle name="Millares 26 4 2 3" xfId="1854" xr:uid="{00000000-0005-0000-0000-0000AE070000}"/>
    <cellStyle name="Millares 26 4 2 4" xfId="3436" xr:uid="{00000000-0005-0000-0000-0000AF070000}"/>
    <cellStyle name="Millares 26 4 3" xfId="2251" xr:uid="{00000000-0005-0000-0000-0000B0070000}"/>
    <cellStyle name="Millares 26 4 3 2" xfId="3833" xr:uid="{00000000-0005-0000-0000-0000B1070000}"/>
    <cellStyle name="Millares 26 4 4" xfId="1460" xr:uid="{00000000-0005-0000-0000-0000B2070000}"/>
    <cellStyle name="Millares 26 4 5" xfId="3042" xr:uid="{00000000-0005-0000-0000-0000B3070000}"/>
    <cellStyle name="Millares 26 5" xfId="841" xr:uid="{00000000-0005-0000-0000-0000B4070000}"/>
    <cellStyle name="Millares 26 5 2" xfId="2424" xr:uid="{00000000-0005-0000-0000-0000B5070000}"/>
    <cellStyle name="Millares 26 5 2 2" xfId="4006" xr:uid="{00000000-0005-0000-0000-0000B6070000}"/>
    <cellStyle name="Millares 26 5 3" xfId="1633" xr:uid="{00000000-0005-0000-0000-0000B7070000}"/>
    <cellStyle name="Millares 26 5 4" xfId="3215" xr:uid="{00000000-0005-0000-0000-0000B8070000}"/>
    <cellStyle name="Millares 26 6" xfId="2030" xr:uid="{00000000-0005-0000-0000-0000B9070000}"/>
    <cellStyle name="Millares 26 6 2" xfId="3612" xr:uid="{00000000-0005-0000-0000-0000BA070000}"/>
    <cellStyle name="Millares 26 7" xfId="1239" xr:uid="{00000000-0005-0000-0000-0000BB070000}"/>
    <cellStyle name="Millares 26 8" xfId="2821" xr:uid="{00000000-0005-0000-0000-0000BC070000}"/>
    <cellStyle name="Millares 27" xfId="368" xr:uid="{00000000-0005-0000-0000-0000BD070000}"/>
    <cellStyle name="Millares 27 2" xfId="486" xr:uid="{00000000-0005-0000-0000-0000BE070000}"/>
    <cellStyle name="Millares 27 2 2" xfId="714" xr:uid="{00000000-0005-0000-0000-0000BF070000}"/>
    <cellStyle name="Millares 27 2 2 2" xfId="1114" xr:uid="{00000000-0005-0000-0000-0000C0070000}"/>
    <cellStyle name="Millares 27 2 2 2 2" xfId="2697" xr:uid="{00000000-0005-0000-0000-0000C1070000}"/>
    <cellStyle name="Millares 27 2 2 2 2 2" xfId="4279" xr:uid="{00000000-0005-0000-0000-0000C2070000}"/>
    <cellStyle name="Millares 27 2 2 2 3" xfId="1906" xr:uid="{00000000-0005-0000-0000-0000C3070000}"/>
    <cellStyle name="Millares 27 2 2 2 4" xfId="3488" xr:uid="{00000000-0005-0000-0000-0000C4070000}"/>
    <cellStyle name="Millares 27 2 2 3" xfId="2303" xr:uid="{00000000-0005-0000-0000-0000C5070000}"/>
    <cellStyle name="Millares 27 2 2 3 2" xfId="3885" xr:uid="{00000000-0005-0000-0000-0000C6070000}"/>
    <cellStyle name="Millares 27 2 2 4" xfId="1512" xr:uid="{00000000-0005-0000-0000-0000C7070000}"/>
    <cellStyle name="Millares 27 2 2 5" xfId="3094" xr:uid="{00000000-0005-0000-0000-0000C8070000}"/>
    <cellStyle name="Millares 27 2 3" xfId="893" xr:uid="{00000000-0005-0000-0000-0000C9070000}"/>
    <cellStyle name="Millares 27 2 3 2" xfId="2476" xr:uid="{00000000-0005-0000-0000-0000CA070000}"/>
    <cellStyle name="Millares 27 2 3 2 2" xfId="4058" xr:uid="{00000000-0005-0000-0000-0000CB070000}"/>
    <cellStyle name="Millares 27 2 3 3" xfId="1685" xr:uid="{00000000-0005-0000-0000-0000CC070000}"/>
    <cellStyle name="Millares 27 2 3 4" xfId="3267" xr:uid="{00000000-0005-0000-0000-0000CD070000}"/>
    <cellStyle name="Millares 27 2 4" xfId="2082" xr:uid="{00000000-0005-0000-0000-0000CE070000}"/>
    <cellStyle name="Millares 27 2 4 2" xfId="3664" xr:uid="{00000000-0005-0000-0000-0000CF070000}"/>
    <cellStyle name="Millares 27 2 5" xfId="1291" xr:uid="{00000000-0005-0000-0000-0000D0070000}"/>
    <cellStyle name="Millares 27 2 6" xfId="2873" xr:uid="{00000000-0005-0000-0000-0000D1070000}"/>
    <cellStyle name="Millares 27 3" xfId="563" xr:uid="{00000000-0005-0000-0000-0000D2070000}"/>
    <cellStyle name="Millares 27 3 2" xfId="970" xr:uid="{00000000-0005-0000-0000-0000D3070000}"/>
    <cellStyle name="Millares 27 3 2 2" xfId="2553" xr:uid="{00000000-0005-0000-0000-0000D4070000}"/>
    <cellStyle name="Millares 27 3 2 2 2" xfId="4135" xr:uid="{00000000-0005-0000-0000-0000D5070000}"/>
    <cellStyle name="Millares 27 3 2 3" xfId="1762" xr:uid="{00000000-0005-0000-0000-0000D6070000}"/>
    <cellStyle name="Millares 27 3 2 4" xfId="3344" xr:uid="{00000000-0005-0000-0000-0000D7070000}"/>
    <cellStyle name="Millares 27 3 3" xfId="2159" xr:uid="{00000000-0005-0000-0000-0000D8070000}"/>
    <cellStyle name="Millares 27 3 3 2" xfId="3741" xr:uid="{00000000-0005-0000-0000-0000D9070000}"/>
    <cellStyle name="Millares 27 3 4" xfId="1368" xr:uid="{00000000-0005-0000-0000-0000DA070000}"/>
    <cellStyle name="Millares 27 3 5" xfId="2950" xr:uid="{00000000-0005-0000-0000-0000DB070000}"/>
    <cellStyle name="Millares 27 4" xfId="638" xr:uid="{00000000-0005-0000-0000-0000DC070000}"/>
    <cellStyle name="Millares 27 4 2" xfId="1038" xr:uid="{00000000-0005-0000-0000-0000DD070000}"/>
    <cellStyle name="Millares 27 4 2 2" xfId="2621" xr:uid="{00000000-0005-0000-0000-0000DE070000}"/>
    <cellStyle name="Millares 27 4 2 2 2" xfId="4203" xr:uid="{00000000-0005-0000-0000-0000DF070000}"/>
    <cellStyle name="Millares 27 4 2 3" xfId="1830" xr:uid="{00000000-0005-0000-0000-0000E0070000}"/>
    <cellStyle name="Millares 27 4 2 4" xfId="3412" xr:uid="{00000000-0005-0000-0000-0000E1070000}"/>
    <cellStyle name="Millares 27 4 3" xfId="2227" xr:uid="{00000000-0005-0000-0000-0000E2070000}"/>
    <cellStyle name="Millares 27 4 3 2" xfId="3809" xr:uid="{00000000-0005-0000-0000-0000E3070000}"/>
    <cellStyle name="Millares 27 4 4" xfId="1436" xr:uid="{00000000-0005-0000-0000-0000E4070000}"/>
    <cellStyle name="Millares 27 4 5" xfId="3018" xr:uid="{00000000-0005-0000-0000-0000E5070000}"/>
    <cellStyle name="Millares 27 5" xfId="817" xr:uid="{00000000-0005-0000-0000-0000E6070000}"/>
    <cellStyle name="Millares 27 5 2" xfId="2400" xr:uid="{00000000-0005-0000-0000-0000E7070000}"/>
    <cellStyle name="Millares 27 5 2 2" xfId="3982" xr:uid="{00000000-0005-0000-0000-0000E8070000}"/>
    <cellStyle name="Millares 27 5 3" xfId="1609" xr:uid="{00000000-0005-0000-0000-0000E9070000}"/>
    <cellStyle name="Millares 27 5 4" xfId="3191" xr:uid="{00000000-0005-0000-0000-0000EA070000}"/>
    <cellStyle name="Millares 27 6" xfId="2006" xr:uid="{00000000-0005-0000-0000-0000EB070000}"/>
    <cellStyle name="Millares 27 6 2" xfId="3588" xr:uid="{00000000-0005-0000-0000-0000EC070000}"/>
    <cellStyle name="Millares 27 7" xfId="1215" xr:uid="{00000000-0005-0000-0000-0000ED070000}"/>
    <cellStyle name="Millares 27 8" xfId="2797" xr:uid="{00000000-0005-0000-0000-0000EE070000}"/>
    <cellStyle name="Millares 28" xfId="346" xr:uid="{00000000-0005-0000-0000-0000EF070000}"/>
    <cellStyle name="Millares 28 2" xfId="467" xr:uid="{00000000-0005-0000-0000-0000F0070000}"/>
    <cellStyle name="Millares 28 2 2" xfId="695" xr:uid="{00000000-0005-0000-0000-0000F1070000}"/>
    <cellStyle name="Millares 28 2 2 2" xfId="1095" xr:uid="{00000000-0005-0000-0000-0000F2070000}"/>
    <cellStyle name="Millares 28 2 2 2 2" xfId="2678" xr:uid="{00000000-0005-0000-0000-0000F3070000}"/>
    <cellStyle name="Millares 28 2 2 2 2 2" xfId="4260" xr:uid="{00000000-0005-0000-0000-0000F4070000}"/>
    <cellStyle name="Millares 28 2 2 2 3" xfId="1887" xr:uid="{00000000-0005-0000-0000-0000F5070000}"/>
    <cellStyle name="Millares 28 2 2 2 4" xfId="3469" xr:uid="{00000000-0005-0000-0000-0000F6070000}"/>
    <cellStyle name="Millares 28 2 2 3" xfId="2284" xr:uid="{00000000-0005-0000-0000-0000F7070000}"/>
    <cellStyle name="Millares 28 2 2 3 2" xfId="3866" xr:uid="{00000000-0005-0000-0000-0000F8070000}"/>
    <cellStyle name="Millares 28 2 2 4" xfId="1493" xr:uid="{00000000-0005-0000-0000-0000F9070000}"/>
    <cellStyle name="Millares 28 2 2 5" xfId="3075" xr:uid="{00000000-0005-0000-0000-0000FA070000}"/>
    <cellStyle name="Millares 28 2 3" xfId="874" xr:uid="{00000000-0005-0000-0000-0000FB070000}"/>
    <cellStyle name="Millares 28 2 3 2" xfId="2457" xr:uid="{00000000-0005-0000-0000-0000FC070000}"/>
    <cellStyle name="Millares 28 2 3 2 2" xfId="4039" xr:uid="{00000000-0005-0000-0000-0000FD070000}"/>
    <cellStyle name="Millares 28 2 3 3" xfId="1666" xr:uid="{00000000-0005-0000-0000-0000FE070000}"/>
    <cellStyle name="Millares 28 2 3 4" xfId="3248" xr:uid="{00000000-0005-0000-0000-0000FF070000}"/>
    <cellStyle name="Millares 28 2 4" xfId="2063" xr:uid="{00000000-0005-0000-0000-000000080000}"/>
    <cellStyle name="Millares 28 2 4 2" xfId="3645" xr:uid="{00000000-0005-0000-0000-000001080000}"/>
    <cellStyle name="Millares 28 2 5" xfId="1272" xr:uid="{00000000-0005-0000-0000-000002080000}"/>
    <cellStyle name="Millares 28 2 6" xfId="2854" xr:uid="{00000000-0005-0000-0000-000003080000}"/>
    <cellStyle name="Millares 28 3" xfId="544" xr:uid="{00000000-0005-0000-0000-000004080000}"/>
    <cellStyle name="Millares 28 3 2" xfId="951" xr:uid="{00000000-0005-0000-0000-000005080000}"/>
    <cellStyle name="Millares 28 3 2 2" xfId="2534" xr:uid="{00000000-0005-0000-0000-000006080000}"/>
    <cellStyle name="Millares 28 3 2 2 2" xfId="4116" xr:uid="{00000000-0005-0000-0000-000007080000}"/>
    <cellStyle name="Millares 28 3 2 3" xfId="1743" xr:uid="{00000000-0005-0000-0000-000008080000}"/>
    <cellStyle name="Millares 28 3 2 4" xfId="3325" xr:uid="{00000000-0005-0000-0000-000009080000}"/>
    <cellStyle name="Millares 28 3 3" xfId="2140" xr:uid="{00000000-0005-0000-0000-00000A080000}"/>
    <cellStyle name="Millares 28 3 3 2" xfId="3722" xr:uid="{00000000-0005-0000-0000-00000B080000}"/>
    <cellStyle name="Millares 28 3 4" xfId="1349" xr:uid="{00000000-0005-0000-0000-00000C080000}"/>
    <cellStyle name="Millares 28 3 5" xfId="2931" xr:uid="{00000000-0005-0000-0000-00000D080000}"/>
    <cellStyle name="Millares 28 4" xfId="619" xr:uid="{00000000-0005-0000-0000-00000E080000}"/>
    <cellStyle name="Millares 28 4 2" xfId="1019" xr:uid="{00000000-0005-0000-0000-00000F080000}"/>
    <cellStyle name="Millares 28 4 2 2" xfId="2602" xr:uid="{00000000-0005-0000-0000-000010080000}"/>
    <cellStyle name="Millares 28 4 2 2 2" xfId="4184" xr:uid="{00000000-0005-0000-0000-000011080000}"/>
    <cellStyle name="Millares 28 4 2 3" xfId="1811" xr:uid="{00000000-0005-0000-0000-000012080000}"/>
    <cellStyle name="Millares 28 4 2 4" xfId="3393" xr:uid="{00000000-0005-0000-0000-000013080000}"/>
    <cellStyle name="Millares 28 4 3" xfId="2208" xr:uid="{00000000-0005-0000-0000-000014080000}"/>
    <cellStyle name="Millares 28 4 3 2" xfId="3790" xr:uid="{00000000-0005-0000-0000-000015080000}"/>
    <cellStyle name="Millares 28 4 4" xfId="1417" xr:uid="{00000000-0005-0000-0000-000016080000}"/>
    <cellStyle name="Millares 28 4 5" xfId="2999" xr:uid="{00000000-0005-0000-0000-000017080000}"/>
    <cellStyle name="Millares 28 5" xfId="798" xr:uid="{00000000-0005-0000-0000-000018080000}"/>
    <cellStyle name="Millares 28 5 2" xfId="2381" xr:uid="{00000000-0005-0000-0000-000019080000}"/>
    <cellStyle name="Millares 28 5 2 2" xfId="3963" xr:uid="{00000000-0005-0000-0000-00001A080000}"/>
    <cellStyle name="Millares 28 5 3" xfId="1590" xr:uid="{00000000-0005-0000-0000-00001B080000}"/>
    <cellStyle name="Millares 28 5 4" xfId="3172" xr:uid="{00000000-0005-0000-0000-00001C080000}"/>
    <cellStyle name="Millares 28 6" xfId="1987" xr:uid="{00000000-0005-0000-0000-00001D080000}"/>
    <cellStyle name="Millares 28 6 2" xfId="3569" xr:uid="{00000000-0005-0000-0000-00001E080000}"/>
    <cellStyle name="Millares 28 7" xfId="1196" xr:uid="{00000000-0005-0000-0000-00001F080000}"/>
    <cellStyle name="Millares 28 8" xfId="2778" xr:uid="{00000000-0005-0000-0000-000020080000}"/>
    <cellStyle name="Millares 29" xfId="362" xr:uid="{00000000-0005-0000-0000-000021080000}"/>
    <cellStyle name="Millares 29 2" xfId="480" xr:uid="{00000000-0005-0000-0000-000022080000}"/>
    <cellStyle name="Millares 29 2 2" xfId="708" xr:uid="{00000000-0005-0000-0000-000023080000}"/>
    <cellStyle name="Millares 29 2 2 2" xfId="1108" xr:uid="{00000000-0005-0000-0000-000024080000}"/>
    <cellStyle name="Millares 29 2 2 2 2" xfId="2691" xr:uid="{00000000-0005-0000-0000-000025080000}"/>
    <cellStyle name="Millares 29 2 2 2 2 2" xfId="4273" xr:uid="{00000000-0005-0000-0000-000026080000}"/>
    <cellStyle name="Millares 29 2 2 2 3" xfId="1900" xr:uid="{00000000-0005-0000-0000-000027080000}"/>
    <cellStyle name="Millares 29 2 2 2 4" xfId="3482" xr:uid="{00000000-0005-0000-0000-000028080000}"/>
    <cellStyle name="Millares 29 2 2 3" xfId="2297" xr:uid="{00000000-0005-0000-0000-000029080000}"/>
    <cellStyle name="Millares 29 2 2 3 2" xfId="3879" xr:uid="{00000000-0005-0000-0000-00002A080000}"/>
    <cellStyle name="Millares 29 2 2 4" xfId="1506" xr:uid="{00000000-0005-0000-0000-00002B080000}"/>
    <cellStyle name="Millares 29 2 2 5" xfId="3088" xr:uid="{00000000-0005-0000-0000-00002C080000}"/>
    <cellStyle name="Millares 29 2 3" xfId="887" xr:uid="{00000000-0005-0000-0000-00002D080000}"/>
    <cellStyle name="Millares 29 2 3 2" xfId="2470" xr:uid="{00000000-0005-0000-0000-00002E080000}"/>
    <cellStyle name="Millares 29 2 3 2 2" xfId="4052" xr:uid="{00000000-0005-0000-0000-00002F080000}"/>
    <cellStyle name="Millares 29 2 3 3" xfId="1679" xr:uid="{00000000-0005-0000-0000-000030080000}"/>
    <cellStyle name="Millares 29 2 3 4" xfId="3261" xr:uid="{00000000-0005-0000-0000-000031080000}"/>
    <cellStyle name="Millares 29 2 4" xfId="2076" xr:uid="{00000000-0005-0000-0000-000032080000}"/>
    <cellStyle name="Millares 29 2 4 2" xfId="3658" xr:uid="{00000000-0005-0000-0000-000033080000}"/>
    <cellStyle name="Millares 29 2 5" xfId="1285" xr:uid="{00000000-0005-0000-0000-000034080000}"/>
    <cellStyle name="Millares 29 2 6" xfId="2867" xr:uid="{00000000-0005-0000-0000-000035080000}"/>
    <cellStyle name="Millares 29 3" xfId="557" xr:uid="{00000000-0005-0000-0000-000036080000}"/>
    <cellStyle name="Millares 29 3 2" xfId="964" xr:uid="{00000000-0005-0000-0000-000037080000}"/>
    <cellStyle name="Millares 29 3 2 2" xfId="2547" xr:uid="{00000000-0005-0000-0000-000038080000}"/>
    <cellStyle name="Millares 29 3 2 2 2" xfId="4129" xr:uid="{00000000-0005-0000-0000-000039080000}"/>
    <cellStyle name="Millares 29 3 2 3" xfId="1756" xr:uid="{00000000-0005-0000-0000-00003A080000}"/>
    <cellStyle name="Millares 29 3 2 4" xfId="3338" xr:uid="{00000000-0005-0000-0000-00003B080000}"/>
    <cellStyle name="Millares 29 3 3" xfId="2153" xr:uid="{00000000-0005-0000-0000-00003C080000}"/>
    <cellStyle name="Millares 29 3 3 2" xfId="3735" xr:uid="{00000000-0005-0000-0000-00003D080000}"/>
    <cellStyle name="Millares 29 3 4" xfId="1362" xr:uid="{00000000-0005-0000-0000-00003E080000}"/>
    <cellStyle name="Millares 29 3 5" xfId="2944" xr:uid="{00000000-0005-0000-0000-00003F080000}"/>
    <cellStyle name="Millares 29 4" xfId="632" xr:uid="{00000000-0005-0000-0000-000040080000}"/>
    <cellStyle name="Millares 29 4 2" xfId="1032" xr:uid="{00000000-0005-0000-0000-000041080000}"/>
    <cellStyle name="Millares 29 4 2 2" xfId="2615" xr:uid="{00000000-0005-0000-0000-000042080000}"/>
    <cellStyle name="Millares 29 4 2 2 2" xfId="4197" xr:uid="{00000000-0005-0000-0000-000043080000}"/>
    <cellStyle name="Millares 29 4 2 3" xfId="1824" xr:uid="{00000000-0005-0000-0000-000044080000}"/>
    <cellStyle name="Millares 29 4 2 4" xfId="3406" xr:uid="{00000000-0005-0000-0000-000045080000}"/>
    <cellStyle name="Millares 29 4 3" xfId="2221" xr:uid="{00000000-0005-0000-0000-000046080000}"/>
    <cellStyle name="Millares 29 4 3 2" xfId="3803" xr:uid="{00000000-0005-0000-0000-000047080000}"/>
    <cellStyle name="Millares 29 4 4" xfId="1430" xr:uid="{00000000-0005-0000-0000-000048080000}"/>
    <cellStyle name="Millares 29 4 5" xfId="3012" xr:uid="{00000000-0005-0000-0000-000049080000}"/>
    <cellStyle name="Millares 29 5" xfId="811" xr:uid="{00000000-0005-0000-0000-00004A080000}"/>
    <cellStyle name="Millares 29 5 2" xfId="2394" xr:uid="{00000000-0005-0000-0000-00004B080000}"/>
    <cellStyle name="Millares 29 5 2 2" xfId="3976" xr:uid="{00000000-0005-0000-0000-00004C080000}"/>
    <cellStyle name="Millares 29 5 3" xfId="1603" xr:uid="{00000000-0005-0000-0000-00004D080000}"/>
    <cellStyle name="Millares 29 5 4" xfId="3185" xr:uid="{00000000-0005-0000-0000-00004E080000}"/>
    <cellStyle name="Millares 29 6" xfId="2000" xr:uid="{00000000-0005-0000-0000-00004F080000}"/>
    <cellStyle name="Millares 29 6 2" xfId="3582" xr:uid="{00000000-0005-0000-0000-000050080000}"/>
    <cellStyle name="Millares 29 7" xfId="1209" xr:uid="{00000000-0005-0000-0000-000051080000}"/>
    <cellStyle name="Millares 29 8" xfId="2791" xr:uid="{00000000-0005-0000-0000-000052080000}"/>
    <cellStyle name="Millares 3" xfId="12" xr:uid="{00000000-0005-0000-0000-000053080000}"/>
    <cellStyle name="Millares 3 10" xfId="1967" xr:uid="{00000000-0005-0000-0000-000054080000}"/>
    <cellStyle name="Millares 3 10 2" xfId="3549" xr:uid="{00000000-0005-0000-0000-000055080000}"/>
    <cellStyle name="Millares 3 11" xfId="1176" xr:uid="{00000000-0005-0000-0000-000056080000}"/>
    <cellStyle name="Millares 3 12" xfId="2758" xr:uid="{00000000-0005-0000-0000-000057080000}"/>
    <cellStyle name="Millares 3 13" xfId="293" xr:uid="{00000000-0005-0000-0000-000058080000}"/>
    <cellStyle name="Millares 3 14" xfId="4621" xr:uid="{EA1114A1-AA63-45F8-AE40-00BCB816A9EA}"/>
    <cellStyle name="Millares 3 14 2" xfId="4998" xr:uid="{1B8CCF62-44BE-4DBB-96FA-98AC183850E4}"/>
    <cellStyle name="Millares 3 15" xfId="4383" xr:uid="{9F681821-9351-44C2-BD73-110AA76F04A0}"/>
    <cellStyle name="Millares 3 2" xfId="4" xr:uid="{00000000-0005-0000-0000-000059080000}"/>
    <cellStyle name="Millares 3 2 10" xfId="1181" xr:uid="{00000000-0005-0000-0000-00005A080000}"/>
    <cellStyle name="Millares 3 2 11" xfId="2763" xr:uid="{00000000-0005-0000-0000-00005B080000}"/>
    <cellStyle name="Millares 3 2 12" xfId="300" xr:uid="{00000000-0005-0000-0000-00005C080000}"/>
    <cellStyle name="Millares 3 2 13" xfId="4648" xr:uid="{4E4D6CF1-10EF-46B1-A04F-C11D8CFAC911}"/>
    <cellStyle name="Millares 3 2 13 2" xfId="5021" xr:uid="{D5093C95-0FE1-4AEF-9AA0-214B65BD2493}"/>
    <cellStyle name="Millares 3 2 14" xfId="4415" xr:uid="{10EA1F64-63CD-4DA4-96C0-EA043EC38957}"/>
    <cellStyle name="Millares 3 2 2" xfId="319" xr:uid="{00000000-0005-0000-0000-00005D080000}"/>
    <cellStyle name="Millares 3 2 2 10" xfId="2776" xr:uid="{00000000-0005-0000-0000-00005E080000}"/>
    <cellStyle name="Millares 3 2 2 11" xfId="4591" xr:uid="{3C1DB0E8-73DC-4D14-A65D-C1840E6D7499}"/>
    <cellStyle name="Millares 3 2 2 12" xfId="4441" xr:uid="{E56AA445-0004-4730-868E-060E8FFF399C}"/>
    <cellStyle name="Millares 3 2 2 2" xfId="397" xr:uid="{00000000-0005-0000-0000-00005F080000}"/>
    <cellStyle name="Millares 3 2 2 2 10" xfId="4466" xr:uid="{86A11749-E63B-46CC-AAE6-B58A4E1506E1}"/>
    <cellStyle name="Millares 3 2 2 2 2" xfId="506" xr:uid="{00000000-0005-0000-0000-000060080000}"/>
    <cellStyle name="Millares 3 2 2 2 2 2" xfId="734" xr:uid="{00000000-0005-0000-0000-000061080000}"/>
    <cellStyle name="Millares 3 2 2 2 2 2 2" xfId="1134" xr:uid="{00000000-0005-0000-0000-000062080000}"/>
    <cellStyle name="Millares 3 2 2 2 2 2 2 2" xfId="2717" xr:uid="{00000000-0005-0000-0000-000063080000}"/>
    <cellStyle name="Millares 3 2 2 2 2 2 2 2 2" xfId="4299" xr:uid="{00000000-0005-0000-0000-000064080000}"/>
    <cellStyle name="Millares 3 2 2 2 2 2 2 3" xfId="1926" xr:uid="{00000000-0005-0000-0000-000065080000}"/>
    <cellStyle name="Millares 3 2 2 2 2 2 2 4" xfId="3508" xr:uid="{00000000-0005-0000-0000-000066080000}"/>
    <cellStyle name="Millares 3 2 2 2 2 2 3" xfId="2323" xr:uid="{00000000-0005-0000-0000-000067080000}"/>
    <cellStyle name="Millares 3 2 2 2 2 2 3 2" xfId="3905" xr:uid="{00000000-0005-0000-0000-000068080000}"/>
    <cellStyle name="Millares 3 2 2 2 2 2 4" xfId="1532" xr:uid="{00000000-0005-0000-0000-000069080000}"/>
    <cellStyle name="Millares 3 2 2 2 2 2 5" xfId="3114" xr:uid="{00000000-0005-0000-0000-00006A080000}"/>
    <cellStyle name="Millares 3 2 2 2 2 3" xfId="913" xr:uid="{00000000-0005-0000-0000-00006B080000}"/>
    <cellStyle name="Millares 3 2 2 2 2 3 2" xfId="2496" xr:uid="{00000000-0005-0000-0000-00006C080000}"/>
    <cellStyle name="Millares 3 2 2 2 2 3 2 2" xfId="4078" xr:uid="{00000000-0005-0000-0000-00006D080000}"/>
    <cellStyle name="Millares 3 2 2 2 2 3 3" xfId="1705" xr:uid="{00000000-0005-0000-0000-00006E080000}"/>
    <cellStyle name="Millares 3 2 2 2 2 3 4" xfId="3287" xr:uid="{00000000-0005-0000-0000-00006F080000}"/>
    <cellStyle name="Millares 3 2 2 2 2 4" xfId="2102" xr:uid="{00000000-0005-0000-0000-000070080000}"/>
    <cellStyle name="Millares 3 2 2 2 2 4 2" xfId="3684" xr:uid="{00000000-0005-0000-0000-000071080000}"/>
    <cellStyle name="Millares 3 2 2 2 2 5" xfId="1311" xr:uid="{00000000-0005-0000-0000-000072080000}"/>
    <cellStyle name="Millares 3 2 2 2 2 6" xfId="2893" xr:uid="{00000000-0005-0000-0000-000073080000}"/>
    <cellStyle name="Millares 3 2 2 2 3" xfId="583" xr:uid="{00000000-0005-0000-0000-000074080000}"/>
    <cellStyle name="Millares 3 2 2 2 3 2" xfId="990" xr:uid="{00000000-0005-0000-0000-000075080000}"/>
    <cellStyle name="Millares 3 2 2 2 3 2 2" xfId="2573" xr:uid="{00000000-0005-0000-0000-000076080000}"/>
    <cellStyle name="Millares 3 2 2 2 3 2 2 2" xfId="4155" xr:uid="{00000000-0005-0000-0000-000077080000}"/>
    <cellStyle name="Millares 3 2 2 2 3 2 3" xfId="1782" xr:uid="{00000000-0005-0000-0000-000078080000}"/>
    <cellStyle name="Millares 3 2 2 2 3 2 4" xfId="3364" xr:uid="{00000000-0005-0000-0000-000079080000}"/>
    <cellStyle name="Millares 3 2 2 2 3 3" xfId="2179" xr:uid="{00000000-0005-0000-0000-00007A080000}"/>
    <cellStyle name="Millares 3 2 2 2 3 3 2" xfId="3761" xr:uid="{00000000-0005-0000-0000-00007B080000}"/>
    <cellStyle name="Millares 3 2 2 2 3 4" xfId="1388" xr:uid="{00000000-0005-0000-0000-00007C080000}"/>
    <cellStyle name="Millares 3 2 2 2 3 5" xfId="2970" xr:uid="{00000000-0005-0000-0000-00007D080000}"/>
    <cellStyle name="Millares 3 2 2 2 4" xfId="658" xr:uid="{00000000-0005-0000-0000-00007E080000}"/>
    <cellStyle name="Millares 3 2 2 2 4 2" xfId="1058" xr:uid="{00000000-0005-0000-0000-00007F080000}"/>
    <cellStyle name="Millares 3 2 2 2 4 2 2" xfId="2641" xr:uid="{00000000-0005-0000-0000-000080080000}"/>
    <cellStyle name="Millares 3 2 2 2 4 2 2 2" xfId="4223" xr:uid="{00000000-0005-0000-0000-000081080000}"/>
    <cellStyle name="Millares 3 2 2 2 4 2 3" xfId="1850" xr:uid="{00000000-0005-0000-0000-000082080000}"/>
    <cellStyle name="Millares 3 2 2 2 4 2 4" xfId="3432" xr:uid="{00000000-0005-0000-0000-000083080000}"/>
    <cellStyle name="Millares 3 2 2 2 4 3" xfId="2247" xr:uid="{00000000-0005-0000-0000-000084080000}"/>
    <cellStyle name="Millares 3 2 2 2 4 3 2" xfId="3829" xr:uid="{00000000-0005-0000-0000-000085080000}"/>
    <cellStyle name="Millares 3 2 2 2 4 4" xfId="1456" xr:uid="{00000000-0005-0000-0000-000086080000}"/>
    <cellStyle name="Millares 3 2 2 2 4 5" xfId="3038" xr:uid="{00000000-0005-0000-0000-000087080000}"/>
    <cellStyle name="Millares 3 2 2 2 5" xfId="837" xr:uid="{00000000-0005-0000-0000-000088080000}"/>
    <cellStyle name="Millares 3 2 2 2 5 2" xfId="2420" xr:uid="{00000000-0005-0000-0000-000089080000}"/>
    <cellStyle name="Millares 3 2 2 2 5 2 2" xfId="4002" xr:uid="{00000000-0005-0000-0000-00008A080000}"/>
    <cellStyle name="Millares 3 2 2 2 5 3" xfId="1629" xr:uid="{00000000-0005-0000-0000-00008B080000}"/>
    <cellStyle name="Millares 3 2 2 2 5 4" xfId="3211" xr:uid="{00000000-0005-0000-0000-00008C080000}"/>
    <cellStyle name="Millares 3 2 2 2 6" xfId="2026" xr:uid="{00000000-0005-0000-0000-00008D080000}"/>
    <cellStyle name="Millares 3 2 2 2 6 2" xfId="3608" xr:uid="{00000000-0005-0000-0000-00008E080000}"/>
    <cellStyle name="Millares 3 2 2 2 7" xfId="1235" xr:uid="{00000000-0005-0000-0000-00008F080000}"/>
    <cellStyle name="Millares 3 2 2 2 8" xfId="2817" xr:uid="{00000000-0005-0000-0000-000090080000}"/>
    <cellStyle name="Millares 3 2 2 2 9" xfId="4592" xr:uid="{547A2AAA-490C-44F8-A08F-9C05B5455208}"/>
    <cellStyle name="Millares 3 2 2 3" xfId="465" xr:uid="{00000000-0005-0000-0000-000091080000}"/>
    <cellStyle name="Millares 3 2 2 3 2" xfId="693" xr:uid="{00000000-0005-0000-0000-000092080000}"/>
    <cellStyle name="Millares 3 2 2 3 2 2" xfId="1093" xr:uid="{00000000-0005-0000-0000-000093080000}"/>
    <cellStyle name="Millares 3 2 2 3 2 2 2" xfId="2676" xr:uid="{00000000-0005-0000-0000-000094080000}"/>
    <cellStyle name="Millares 3 2 2 3 2 2 2 2" xfId="4258" xr:uid="{00000000-0005-0000-0000-000095080000}"/>
    <cellStyle name="Millares 3 2 2 3 2 2 3" xfId="1885" xr:uid="{00000000-0005-0000-0000-000096080000}"/>
    <cellStyle name="Millares 3 2 2 3 2 2 4" xfId="3467" xr:uid="{00000000-0005-0000-0000-000097080000}"/>
    <cellStyle name="Millares 3 2 2 3 2 3" xfId="2282" xr:uid="{00000000-0005-0000-0000-000098080000}"/>
    <cellStyle name="Millares 3 2 2 3 2 3 2" xfId="3864" xr:uid="{00000000-0005-0000-0000-000099080000}"/>
    <cellStyle name="Millares 3 2 2 3 2 4" xfId="1491" xr:uid="{00000000-0005-0000-0000-00009A080000}"/>
    <cellStyle name="Millares 3 2 2 3 2 5" xfId="3073" xr:uid="{00000000-0005-0000-0000-00009B080000}"/>
    <cellStyle name="Millares 3 2 2 3 3" xfId="872" xr:uid="{00000000-0005-0000-0000-00009C080000}"/>
    <cellStyle name="Millares 3 2 2 3 3 2" xfId="2455" xr:uid="{00000000-0005-0000-0000-00009D080000}"/>
    <cellStyle name="Millares 3 2 2 3 3 2 2" xfId="4037" xr:uid="{00000000-0005-0000-0000-00009E080000}"/>
    <cellStyle name="Millares 3 2 2 3 3 3" xfId="1664" xr:uid="{00000000-0005-0000-0000-00009F080000}"/>
    <cellStyle name="Millares 3 2 2 3 3 4" xfId="3246" xr:uid="{00000000-0005-0000-0000-0000A0080000}"/>
    <cellStyle name="Millares 3 2 2 3 4" xfId="2061" xr:uid="{00000000-0005-0000-0000-0000A1080000}"/>
    <cellStyle name="Millares 3 2 2 3 4 2" xfId="3643" xr:uid="{00000000-0005-0000-0000-0000A2080000}"/>
    <cellStyle name="Millares 3 2 2 3 5" xfId="1270" xr:uid="{00000000-0005-0000-0000-0000A3080000}"/>
    <cellStyle name="Millares 3 2 2 3 6" xfId="2852" xr:uid="{00000000-0005-0000-0000-0000A4080000}"/>
    <cellStyle name="Millares 3 2 2 4" xfId="542" xr:uid="{00000000-0005-0000-0000-0000A5080000}"/>
    <cellStyle name="Millares 3 2 2 4 2" xfId="949" xr:uid="{00000000-0005-0000-0000-0000A6080000}"/>
    <cellStyle name="Millares 3 2 2 4 2 2" xfId="2532" xr:uid="{00000000-0005-0000-0000-0000A7080000}"/>
    <cellStyle name="Millares 3 2 2 4 2 2 2" xfId="4114" xr:uid="{00000000-0005-0000-0000-0000A8080000}"/>
    <cellStyle name="Millares 3 2 2 4 2 3" xfId="1741" xr:uid="{00000000-0005-0000-0000-0000A9080000}"/>
    <cellStyle name="Millares 3 2 2 4 2 4" xfId="3323" xr:uid="{00000000-0005-0000-0000-0000AA080000}"/>
    <cellStyle name="Millares 3 2 2 4 3" xfId="2138" xr:uid="{00000000-0005-0000-0000-0000AB080000}"/>
    <cellStyle name="Millares 3 2 2 4 3 2" xfId="3720" xr:uid="{00000000-0005-0000-0000-0000AC080000}"/>
    <cellStyle name="Millares 3 2 2 4 4" xfId="1347" xr:uid="{00000000-0005-0000-0000-0000AD080000}"/>
    <cellStyle name="Millares 3 2 2 4 5" xfId="2929" xr:uid="{00000000-0005-0000-0000-0000AE080000}"/>
    <cellStyle name="Millares 3 2 2 5" xfId="617" xr:uid="{00000000-0005-0000-0000-0000AF080000}"/>
    <cellStyle name="Millares 3 2 2 5 2" xfId="1017" xr:uid="{00000000-0005-0000-0000-0000B0080000}"/>
    <cellStyle name="Millares 3 2 2 5 2 2" xfId="2600" xr:uid="{00000000-0005-0000-0000-0000B1080000}"/>
    <cellStyle name="Millares 3 2 2 5 2 2 2" xfId="4182" xr:uid="{00000000-0005-0000-0000-0000B2080000}"/>
    <cellStyle name="Millares 3 2 2 5 2 3" xfId="1809" xr:uid="{00000000-0005-0000-0000-0000B3080000}"/>
    <cellStyle name="Millares 3 2 2 5 2 4" xfId="3391" xr:uid="{00000000-0005-0000-0000-0000B4080000}"/>
    <cellStyle name="Millares 3 2 2 5 3" xfId="2206" xr:uid="{00000000-0005-0000-0000-0000B5080000}"/>
    <cellStyle name="Millares 3 2 2 5 3 2" xfId="3788" xr:uid="{00000000-0005-0000-0000-0000B6080000}"/>
    <cellStyle name="Millares 3 2 2 5 4" xfId="1415" xr:uid="{00000000-0005-0000-0000-0000B7080000}"/>
    <cellStyle name="Millares 3 2 2 5 5" xfId="2997" xr:uid="{00000000-0005-0000-0000-0000B8080000}"/>
    <cellStyle name="Millares 3 2 2 6" xfId="769" xr:uid="{00000000-0005-0000-0000-0000B9080000}"/>
    <cellStyle name="Millares 3 2 2 6 2" xfId="1169" xr:uid="{00000000-0005-0000-0000-0000BA080000}"/>
    <cellStyle name="Millares 3 2 2 6 2 2" xfId="2752" xr:uid="{00000000-0005-0000-0000-0000BB080000}"/>
    <cellStyle name="Millares 3 2 2 6 2 2 2" xfId="4334" xr:uid="{00000000-0005-0000-0000-0000BC080000}"/>
    <cellStyle name="Millares 3 2 2 6 2 3" xfId="1961" xr:uid="{00000000-0005-0000-0000-0000BD080000}"/>
    <cellStyle name="Millares 3 2 2 6 2 4" xfId="3543" xr:uid="{00000000-0005-0000-0000-0000BE080000}"/>
    <cellStyle name="Millares 3 2 2 6 3" xfId="2358" xr:uid="{00000000-0005-0000-0000-0000BF080000}"/>
    <cellStyle name="Millares 3 2 2 6 3 2" xfId="3940" xr:uid="{00000000-0005-0000-0000-0000C0080000}"/>
    <cellStyle name="Millares 3 2 2 6 4" xfId="1567" xr:uid="{00000000-0005-0000-0000-0000C1080000}"/>
    <cellStyle name="Millares 3 2 2 6 5" xfId="3149" xr:uid="{00000000-0005-0000-0000-0000C2080000}"/>
    <cellStyle name="Millares 3 2 2 7" xfId="796" xr:uid="{00000000-0005-0000-0000-0000C3080000}"/>
    <cellStyle name="Millares 3 2 2 7 2" xfId="2379" xr:uid="{00000000-0005-0000-0000-0000C4080000}"/>
    <cellStyle name="Millares 3 2 2 7 2 2" xfId="3961" xr:uid="{00000000-0005-0000-0000-0000C5080000}"/>
    <cellStyle name="Millares 3 2 2 7 3" xfId="1588" xr:uid="{00000000-0005-0000-0000-0000C6080000}"/>
    <cellStyle name="Millares 3 2 2 7 4" xfId="3170" xr:uid="{00000000-0005-0000-0000-0000C7080000}"/>
    <cellStyle name="Millares 3 2 2 8" xfId="1985" xr:uid="{00000000-0005-0000-0000-0000C8080000}"/>
    <cellStyle name="Millares 3 2 2 8 2" xfId="3567" xr:uid="{00000000-0005-0000-0000-0000C9080000}"/>
    <cellStyle name="Millares 3 2 2 9" xfId="1194" xr:uid="{00000000-0005-0000-0000-0000CA080000}"/>
    <cellStyle name="Millares 3 2 3" xfId="378" xr:uid="{00000000-0005-0000-0000-0000CB080000}"/>
    <cellStyle name="Millares 3 2 3 2" xfId="493" xr:uid="{00000000-0005-0000-0000-0000CC080000}"/>
    <cellStyle name="Millares 3 2 3 2 2" xfId="721" xr:uid="{00000000-0005-0000-0000-0000CD080000}"/>
    <cellStyle name="Millares 3 2 3 2 2 2" xfId="1121" xr:uid="{00000000-0005-0000-0000-0000CE080000}"/>
    <cellStyle name="Millares 3 2 3 2 2 2 2" xfId="2704" xr:uid="{00000000-0005-0000-0000-0000CF080000}"/>
    <cellStyle name="Millares 3 2 3 2 2 2 2 2" xfId="4286" xr:uid="{00000000-0005-0000-0000-0000D0080000}"/>
    <cellStyle name="Millares 3 2 3 2 2 2 3" xfId="1913" xr:uid="{00000000-0005-0000-0000-0000D1080000}"/>
    <cellStyle name="Millares 3 2 3 2 2 2 4" xfId="3495" xr:uid="{00000000-0005-0000-0000-0000D2080000}"/>
    <cellStyle name="Millares 3 2 3 2 2 3" xfId="2310" xr:uid="{00000000-0005-0000-0000-0000D3080000}"/>
    <cellStyle name="Millares 3 2 3 2 2 3 2" xfId="3892" xr:uid="{00000000-0005-0000-0000-0000D4080000}"/>
    <cellStyle name="Millares 3 2 3 2 2 4" xfId="1519" xr:uid="{00000000-0005-0000-0000-0000D5080000}"/>
    <cellStyle name="Millares 3 2 3 2 2 5" xfId="3101" xr:uid="{00000000-0005-0000-0000-0000D6080000}"/>
    <cellStyle name="Millares 3 2 3 2 3" xfId="900" xr:uid="{00000000-0005-0000-0000-0000D7080000}"/>
    <cellStyle name="Millares 3 2 3 2 3 2" xfId="2483" xr:uid="{00000000-0005-0000-0000-0000D8080000}"/>
    <cellStyle name="Millares 3 2 3 2 3 2 2" xfId="4065" xr:uid="{00000000-0005-0000-0000-0000D9080000}"/>
    <cellStyle name="Millares 3 2 3 2 3 3" xfId="1692" xr:uid="{00000000-0005-0000-0000-0000DA080000}"/>
    <cellStyle name="Millares 3 2 3 2 3 4" xfId="3274" xr:uid="{00000000-0005-0000-0000-0000DB080000}"/>
    <cellStyle name="Millares 3 2 3 2 4" xfId="2089" xr:uid="{00000000-0005-0000-0000-0000DC080000}"/>
    <cellStyle name="Millares 3 2 3 2 4 2" xfId="3671" xr:uid="{00000000-0005-0000-0000-0000DD080000}"/>
    <cellStyle name="Millares 3 2 3 2 5" xfId="1298" xr:uid="{00000000-0005-0000-0000-0000DE080000}"/>
    <cellStyle name="Millares 3 2 3 2 6" xfId="2880" xr:uid="{00000000-0005-0000-0000-0000DF080000}"/>
    <cellStyle name="Millares 3 2 3 3" xfId="570" xr:uid="{00000000-0005-0000-0000-0000E0080000}"/>
    <cellStyle name="Millares 3 2 3 3 2" xfId="977" xr:uid="{00000000-0005-0000-0000-0000E1080000}"/>
    <cellStyle name="Millares 3 2 3 3 2 2" xfId="2560" xr:uid="{00000000-0005-0000-0000-0000E2080000}"/>
    <cellStyle name="Millares 3 2 3 3 2 2 2" xfId="4142" xr:uid="{00000000-0005-0000-0000-0000E3080000}"/>
    <cellStyle name="Millares 3 2 3 3 2 3" xfId="1769" xr:uid="{00000000-0005-0000-0000-0000E4080000}"/>
    <cellStyle name="Millares 3 2 3 3 2 4" xfId="3351" xr:uid="{00000000-0005-0000-0000-0000E5080000}"/>
    <cellStyle name="Millares 3 2 3 3 3" xfId="2166" xr:uid="{00000000-0005-0000-0000-0000E6080000}"/>
    <cellStyle name="Millares 3 2 3 3 3 2" xfId="3748" xr:uid="{00000000-0005-0000-0000-0000E7080000}"/>
    <cellStyle name="Millares 3 2 3 3 4" xfId="1375" xr:uid="{00000000-0005-0000-0000-0000E8080000}"/>
    <cellStyle name="Millares 3 2 3 3 5" xfId="2957" xr:uid="{00000000-0005-0000-0000-0000E9080000}"/>
    <cellStyle name="Millares 3 2 3 4" xfId="645" xr:uid="{00000000-0005-0000-0000-0000EA080000}"/>
    <cellStyle name="Millares 3 2 3 4 2" xfId="1045" xr:uid="{00000000-0005-0000-0000-0000EB080000}"/>
    <cellStyle name="Millares 3 2 3 4 2 2" xfId="2628" xr:uid="{00000000-0005-0000-0000-0000EC080000}"/>
    <cellStyle name="Millares 3 2 3 4 2 2 2" xfId="4210" xr:uid="{00000000-0005-0000-0000-0000ED080000}"/>
    <cellStyle name="Millares 3 2 3 4 2 3" xfId="1837" xr:uid="{00000000-0005-0000-0000-0000EE080000}"/>
    <cellStyle name="Millares 3 2 3 4 2 4" xfId="3419" xr:uid="{00000000-0005-0000-0000-0000EF080000}"/>
    <cellStyle name="Millares 3 2 3 4 3" xfId="2234" xr:uid="{00000000-0005-0000-0000-0000F0080000}"/>
    <cellStyle name="Millares 3 2 3 4 3 2" xfId="3816" xr:uid="{00000000-0005-0000-0000-0000F1080000}"/>
    <cellStyle name="Millares 3 2 3 4 4" xfId="1443" xr:uid="{00000000-0005-0000-0000-0000F2080000}"/>
    <cellStyle name="Millares 3 2 3 4 5" xfId="3025" xr:uid="{00000000-0005-0000-0000-0000F3080000}"/>
    <cellStyle name="Millares 3 2 3 5" xfId="824" xr:uid="{00000000-0005-0000-0000-0000F4080000}"/>
    <cellStyle name="Millares 3 2 3 5 2" xfId="2407" xr:uid="{00000000-0005-0000-0000-0000F5080000}"/>
    <cellStyle name="Millares 3 2 3 5 2 2" xfId="3989" xr:uid="{00000000-0005-0000-0000-0000F6080000}"/>
    <cellStyle name="Millares 3 2 3 5 3" xfId="1616" xr:uid="{00000000-0005-0000-0000-0000F7080000}"/>
    <cellStyle name="Millares 3 2 3 5 4" xfId="3198" xr:uid="{00000000-0005-0000-0000-0000F8080000}"/>
    <cellStyle name="Millares 3 2 3 6" xfId="2013" xr:uid="{00000000-0005-0000-0000-0000F9080000}"/>
    <cellStyle name="Millares 3 2 3 6 2" xfId="3595" xr:uid="{00000000-0005-0000-0000-0000FA080000}"/>
    <cellStyle name="Millares 3 2 3 7" xfId="1222" xr:uid="{00000000-0005-0000-0000-0000FB080000}"/>
    <cellStyle name="Millares 3 2 3 8" xfId="2804" xr:uid="{00000000-0005-0000-0000-0000FC080000}"/>
    <cellStyle name="Millares 3 2 4" xfId="452" xr:uid="{00000000-0005-0000-0000-0000FD080000}"/>
    <cellStyle name="Millares 3 2 4 2" xfId="680" xr:uid="{00000000-0005-0000-0000-0000FE080000}"/>
    <cellStyle name="Millares 3 2 4 2 2" xfId="1080" xr:uid="{00000000-0005-0000-0000-0000FF080000}"/>
    <cellStyle name="Millares 3 2 4 2 2 2" xfId="2663" xr:uid="{00000000-0005-0000-0000-000000090000}"/>
    <cellStyle name="Millares 3 2 4 2 2 2 2" xfId="4245" xr:uid="{00000000-0005-0000-0000-000001090000}"/>
    <cellStyle name="Millares 3 2 4 2 2 3" xfId="1872" xr:uid="{00000000-0005-0000-0000-000002090000}"/>
    <cellStyle name="Millares 3 2 4 2 2 4" xfId="3454" xr:uid="{00000000-0005-0000-0000-000003090000}"/>
    <cellStyle name="Millares 3 2 4 2 3" xfId="2269" xr:uid="{00000000-0005-0000-0000-000004090000}"/>
    <cellStyle name="Millares 3 2 4 2 3 2" xfId="3851" xr:uid="{00000000-0005-0000-0000-000005090000}"/>
    <cellStyle name="Millares 3 2 4 2 4" xfId="1478" xr:uid="{00000000-0005-0000-0000-000006090000}"/>
    <cellStyle name="Millares 3 2 4 2 5" xfId="3060" xr:uid="{00000000-0005-0000-0000-000007090000}"/>
    <cellStyle name="Millares 3 2 4 3" xfId="859" xr:uid="{00000000-0005-0000-0000-000008090000}"/>
    <cellStyle name="Millares 3 2 4 3 2" xfId="2442" xr:uid="{00000000-0005-0000-0000-000009090000}"/>
    <cellStyle name="Millares 3 2 4 3 2 2" xfId="4024" xr:uid="{00000000-0005-0000-0000-00000A090000}"/>
    <cellStyle name="Millares 3 2 4 3 3" xfId="1651" xr:uid="{00000000-0005-0000-0000-00000B090000}"/>
    <cellStyle name="Millares 3 2 4 3 4" xfId="3233" xr:uid="{00000000-0005-0000-0000-00000C090000}"/>
    <cellStyle name="Millares 3 2 4 4" xfId="2048" xr:uid="{00000000-0005-0000-0000-00000D090000}"/>
    <cellStyle name="Millares 3 2 4 4 2" xfId="3630" xr:uid="{00000000-0005-0000-0000-00000E090000}"/>
    <cellStyle name="Millares 3 2 4 5" xfId="1257" xr:uid="{00000000-0005-0000-0000-00000F090000}"/>
    <cellStyle name="Millares 3 2 4 6" xfId="2839" xr:uid="{00000000-0005-0000-0000-000010090000}"/>
    <cellStyle name="Millares 3 2 5" xfId="529" xr:uid="{00000000-0005-0000-0000-000011090000}"/>
    <cellStyle name="Millares 3 2 5 2" xfId="936" xr:uid="{00000000-0005-0000-0000-000012090000}"/>
    <cellStyle name="Millares 3 2 5 2 2" xfId="2519" xr:uid="{00000000-0005-0000-0000-000013090000}"/>
    <cellStyle name="Millares 3 2 5 2 2 2" xfId="4101" xr:uid="{00000000-0005-0000-0000-000014090000}"/>
    <cellStyle name="Millares 3 2 5 2 3" xfId="1728" xr:uid="{00000000-0005-0000-0000-000015090000}"/>
    <cellStyle name="Millares 3 2 5 2 4" xfId="3310" xr:uid="{00000000-0005-0000-0000-000016090000}"/>
    <cellStyle name="Millares 3 2 5 3" xfId="2125" xr:uid="{00000000-0005-0000-0000-000017090000}"/>
    <cellStyle name="Millares 3 2 5 3 2" xfId="3707" xr:uid="{00000000-0005-0000-0000-000018090000}"/>
    <cellStyle name="Millares 3 2 5 4" xfId="1334" xr:uid="{00000000-0005-0000-0000-000019090000}"/>
    <cellStyle name="Millares 3 2 5 5" xfId="2916" xr:uid="{00000000-0005-0000-0000-00001A090000}"/>
    <cellStyle name="Millares 3 2 6" xfId="604" xr:uid="{00000000-0005-0000-0000-00001B090000}"/>
    <cellStyle name="Millares 3 2 6 2" xfId="1004" xr:uid="{00000000-0005-0000-0000-00001C090000}"/>
    <cellStyle name="Millares 3 2 6 2 2" xfId="2587" xr:uid="{00000000-0005-0000-0000-00001D090000}"/>
    <cellStyle name="Millares 3 2 6 2 2 2" xfId="4169" xr:uid="{00000000-0005-0000-0000-00001E090000}"/>
    <cellStyle name="Millares 3 2 6 2 3" xfId="1796" xr:uid="{00000000-0005-0000-0000-00001F090000}"/>
    <cellStyle name="Millares 3 2 6 2 4" xfId="3378" xr:uid="{00000000-0005-0000-0000-000020090000}"/>
    <cellStyle name="Millares 3 2 6 3" xfId="2193" xr:uid="{00000000-0005-0000-0000-000021090000}"/>
    <cellStyle name="Millares 3 2 6 3 2" xfId="3775" xr:uid="{00000000-0005-0000-0000-000022090000}"/>
    <cellStyle name="Millares 3 2 6 4" xfId="1402" xr:uid="{00000000-0005-0000-0000-000023090000}"/>
    <cellStyle name="Millares 3 2 6 5" xfId="2984" xr:uid="{00000000-0005-0000-0000-000024090000}"/>
    <cellStyle name="Millares 3 2 7" xfId="756" xr:uid="{00000000-0005-0000-0000-000025090000}"/>
    <cellStyle name="Millares 3 2 7 2" xfId="1156" xr:uid="{00000000-0005-0000-0000-000026090000}"/>
    <cellStyle name="Millares 3 2 7 2 2" xfId="2739" xr:uid="{00000000-0005-0000-0000-000027090000}"/>
    <cellStyle name="Millares 3 2 7 2 2 2" xfId="4321" xr:uid="{00000000-0005-0000-0000-000028090000}"/>
    <cellStyle name="Millares 3 2 7 2 3" xfId="1948" xr:uid="{00000000-0005-0000-0000-000029090000}"/>
    <cellStyle name="Millares 3 2 7 2 4" xfId="3530" xr:uid="{00000000-0005-0000-0000-00002A090000}"/>
    <cellStyle name="Millares 3 2 7 3" xfId="2345" xr:uid="{00000000-0005-0000-0000-00002B090000}"/>
    <cellStyle name="Millares 3 2 7 3 2" xfId="3927" xr:uid="{00000000-0005-0000-0000-00002C090000}"/>
    <cellStyle name="Millares 3 2 7 4" xfId="1554" xr:uid="{00000000-0005-0000-0000-00002D090000}"/>
    <cellStyle name="Millares 3 2 7 5" xfId="3136" xr:uid="{00000000-0005-0000-0000-00002E090000}"/>
    <cellStyle name="Millares 3 2 8" xfId="783" xr:uid="{00000000-0005-0000-0000-00002F090000}"/>
    <cellStyle name="Millares 3 2 8 2" xfId="2366" xr:uid="{00000000-0005-0000-0000-000030090000}"/>
    <cellStyle name="Millares 3 2 8 2 2" xfId="3948" xr:uid="{00000000-0005-0000-0000-000031090000}"/>
    <cellStyle name="Millares 3 2 8 3" xfId="1575" xr:uid="{00000000-0005-0000-0000-000032090000}"/>
    <cellStyle name="Millares 3 2 8 4" xfId="3157" xr:uid="{00000000-0005-0000-0000-000033090000}"/>
    <cellStyle name="Millares 3 2 9" xfId="1972" xr:uid="{00000000-0005-0000-0000-000034090000}"/>
    <cellStyle name="Millares 3 2 9 2" xfId="3554" xr:uid="{00000000-0005-0000-0000-000035090000}"/>
    <cellStyle name="Millares 3 3" xfId="311" xr:uid="{00000000-0005-0000-0000-000036090000}"/>
    <cellStyle name="Millares 3 3 10" xfId="2771" xr:uid="{00000000-0005-0000-0000-000037090000}"/>
    <cellStyle name="Millares 3 3 11" xfId="4593" xr:uid="{30AC3528-2052-4D93-929F-84F2CB9D6E2E}"/>
    <cellStyle name="Millares 3 3 12" xfId="4430" xr:uid="{2387DE9C-FA53-4024-B02B-098CB9C9F92A}"/>
    <cellStyle name="Millares 3 3 2" xfId="389" xr:uid="{00000000-0005-0000-0000-000038090000}"/>
    <cellStyle name="Millares 3 3 2 10" xfId="4459" xr:uid="{8856C176-B96B-4C85-AD09-2B41A1125146}"/>
    <cellStyle name="Millares 3 3 2 2" xfId="501" xr:uid="{00000000-0005-0000-0000-000039090000}"/>
    <cellStyle name="Millares 3 3 2 2 2" xfId="729" xr:uid="{00000000-0005-0000-0000-00003A090000}"/>
    <cellStyle name="Millares 3 3 2 2 2 2" xfId="1129" xr:uid="{00000000-0005-0000-0000-00003B090000}"/>
    <cellStyle name="Millares 3 3 2 2 2 2 2" xfId="2712" xr:uid="{00000000-0005-0000-0000-00003C090000}"/>
    <cellStyle name="Millares 3 3 2 2 2 2 2 2" xfId="4294" xr:uid="{00000000-0005-0000-0000-00003D090000}"/>
    <cellStyle name="Millares 3 3 2 2 2 2 3" xfId="1921" xr:uid="{00000000-0005-0000-0000-00003E090000}"/>
    <cellStyle name="Millares 3 3 2 2 2 2 4" xfId="3503" xr:uid="{00000000-0005-0000-0000-00003F090000}"/>
    <cellStyle name="Millares 3 3 2 2 2 3" xfId="2318" xr:uid="{00000000-0005-0000-0000-000040090000}"/>
    <cellStyle name="Millares 3 3 2 2 2 3 2" xfId="3900" xr:uid="{00000000-0005-0000-0000-000041090000}"/>
    <cellStyle name="Millares 3 3 2 2 2 4" xfId="1527" xr:uid="{00000000-0005-0000-0000-000042090000}"/>
    <cellStyle name="Millares 3 3 2 2 2 5" xfId="3109" xr:uid="{00000000-0005-0000-0000-000043090000}"/>
    <cellStyle name="Millares 3 3 2 2 3" xfId="908" xr:uid="{00000000-0005-0000-0000-000044090000}"/>
    <cellStyle name="Millares 3 3 2 2 3 2" xfId="2491" xr:uid="{00000000-0005-0000-0000-000045090000}"/>
    <cellStyle name="Millares 3 3 2 2 3 2 2" xfId="4073" xr:uid="{00000000-0005-0000-0000-000046090000}"/>
    <cellStyle name="Millares 3 3 2 2 3 3" xfId="1700" xr:uid="{00000000-0005-0000-0000-000047090000}"/>
    <cellStyle name="Millares 3 3 2 2 3 4" xfId="3282" xr:uid="{00000000-0005-0000-0000-000048090000}"/>
    <cellStyle name="Millares 3 3 2 2 4" xfId="2097" xr:uid="{00000000-0005-0000-0000-000049090000}"/>
    <cellStyle name="Millares 3 3 2 2 4 2" xfId="3679" xr:uid="{00000000-0005-0000-0000-00004A090000}"/>
    <cellStyle name="Millares 3 3 2 2 5" xfId="1306" xr:uid="{00000000-0005-0000-0000-00004B090000}"/>
    <cellStyle name="Millares 3 3 2 2 6" xfId="2888" xr:uid="{00000000-0005-0000-0000-00004C090000}"/>
    <cellStyle name="Millares 3 3 2 3" xfId="578" xr:uid="{00000000-0005-0000-0000-00004D090000}"/>
    <cellStyle name="Millares 3 3 2 3 2" xfId="985" xr:uid="{00000000-0005-0000-0000-00004E090000}"/>
    <cellStyle name="Millares 3 3 2 3 2 2" xfId="2568" xr:uid="{00000000-0005-0000-0000-00004F090000}"/>
    <cellStyle name="Millares 3 3 2 3 2 2 2" xfId="4150" xr:uid="{00000000-0005-0000-0000-000050090000}"/>
    <cellStyle name="Millares 3 3 2 3 2 3" xfId="1777" xr:uid="{00000000-0005-0000-0000-000051090000}"/>
    <cellStyle name="Millares 3 3 2 3 2 4" xfId="3359" xr:uid="{00000000-0005-0000-0000-000052090000}"/>
    <cellStyle name="Millares 3 3 2 3 3" xfId="2174" xr:uid="{00000000-0005-0000-0000-000053090000}"/>
    <cellStyle name="Millares 3 3 2 3 3 2" xfId="3756" xr:uid="{00000000-0005-0000-0000-000054090000}"/>
    <cellStyle name="Millares 3 3 2 3 4" xfId="1383" xr:uid="{00000000-0005-0000-0000-000055090000}"/>
    <cellStyle name="Millares 3 3 2 3 5" xfId="2965" xr:uid="{00000000-0005-0000-0000-000056090000}"/>
    <cellStyle name="Millares 3 3 2 4" xfId="653" xr:uid="{00000000-0005-0000-0000-000057090000}"/>
    <cellStyle name="Millares 3 3 2 4 2" xfId="1053" xr:uid="{00000000-0005-0000-0000-000058090000}"/>
    <cellStyle name="Millares 3 3 2 4 2 2" xfId="2636" xr:uid="{00000000-0005-0000-0000-000059090000}"/>
    <cellStyle name="Millares 3 3 2 4 2 2 2" xfId="4218" xr:uid="{00000000-0005-0000-0000-00005A090000}"/>
    <cellStyle name="Millares 3 3 2 4 2 3" xfId="1845" xr:uid="{00000000-0005-0000-0000-00005B090000}"/>
    <cellStyle name="Millares 3 3 2 4 2 4" xfId="3427" xr:uid="{00000000-0005-0000-0000-00005C090000}"/>
    <cellStyle name="Millares 3 3 2 4 3" xfId="2242" xr:uid="{00000000-0005-0000-0000-00005D090000}"/>
    <cellStyle name="Millares 3 3 2 4 3 2" xfId="3824" xr:uid="{00000000-0005-0000-0000-00005E090000}"/>
    <cellStyle name="Millares 3 3 2 4 4" xfId="1451" xr:uid="{00000000-0005-0000-0000-00005F090000}"/>
    <cellStyle name="Millares 3 3 2 4 5" xfId="3033" xr:uid="{00000000-0005-0000-0000-000060090000}"/>
    <cellStyle name="Millares 3 3 2 5" xfId="832" xr:uid="{00000000-0005-0000-0000-000061090000}"/>
    <cellStyle name="Millares 3 3 2 5 2" xfId="2415" xr:uid="{00000000-0005-0000-0000-000062090000}"/>
    <cellStyle name="Millares 3 3 2 5 2 2" xfId="3997" xr:uid="{00000000-0005-0000-0000-000063090000}"/>
    <cellStyle name="Millares 3 3 2 5 3" xfId="1624" xr:uid="{00000000-0005-0000-0000-000064090000}"/>
    <cellStyle name="Millares 3 3 2 5 4" xfId="3206" xr:uid="{00000000-0005-0000-0000-000065090000}"/>
    <cellStyle name="Millares 3 3 2 6" xfId="2021" xr:uid="{00000000-0005-0000-0000-000066090000}"/>
    <cellStyle name="Millares 3 3 2 6 2" xfId="3603" xr:uid="{00000000-0005-0000-0000-000067090000}"/>
    <cellStyle name="Millares 3 3 2 7" xfId="1230" xr:uid="{00000000-0005-0000-0000-000068090000}"/>
    <cellStyle name="Millares 3 3 2 8" xfId="2812" xr:uid="{00000000-0005-0000-0000-000069090000}"/>
    <cellStyle name="Millares 3 3 2 9" xfId="4594" xr:uid="{29A4882A-0EF9-43D4-8A9B-0B21A2517229}"/>
    <cellStyle name="Millares 3 3 3" xfId="460" xr:uid="{00000000-0005-0000-0000-00006A090000}"/>
    <cellStyle name="Millares 3 3 3 2" xfId="688" xr:uid="{00000000-0005-0000-0000-00006B090000}"/>
    <cellStyle name="Millares 3 3 3 2 2" xfId="1088" xr:uid="{00000000-0005-0000-0000-00006C090000}"/>
    <cellStyle name="Millares 3 3 3 2 2 2" xfId="2671" xr:uid="{00000000-0005-0000-0000-00006D090000}"/>
    <cellStyle name="Millares 3 3 3 2 2 2 2" xfId="4253" xr:uid="{00000000-0005-0000-0000-00006E090000}"/>
    <cellStyle name="Millares 3 3 3 2 2 3" xfId="1880" xr:uid="{00000000-0005-0000-0000-00006F090000}"/>
    <cellStyle name="Millares 3 3 3 2 2 4" xfId="3462" xr:uid="{00000000-0005-0000-0000-000070090000}"/>
    <cellStyle name="Millares 3 3 3 2 3" xfId="2277" xr:uid="{00000000-0005-0000-0000-000071090000}"/>
    <cellStyle name="Millares 3 3 3 2 3 2" xfId="3859" xr:uid="{00000000-0005-0000-0000-000072090000}"/>
    <cellStyle name="Millares 3 3 3 2 4" xfId="1486" xr:uid="{00000000-0005-0000-0000-000073090000}"/>
    <cellStyle name="Millares 3 3 3 2 5" xfId="3068" xr:uid="{00000000-0005-0000-0000-000074090000}"/>
    <cellStyle name="Millares 3 3 3 3" xfId="867" xr:uid="{00000000-0005-0000-0000-000075090000}"/>
    <cellStyle name="Millares 3 3 3 3 2" xfId="2450" xr:uid="{00000000-0005-0000-0000-000076090000}"/>
    <cellStyle name="Millares 3 3 3 3 2 2" xfId="4032" xr:uid="{00000000-0005-0000-0000-000077090000}"/>
    <cellStyle name="Millares 3 3 3 3 3" xfId="1659" xr:uid="{00000000-0005-0000-0000-000078090000}"/>
    <cellStyle name="Millares 3 3 3 3 4" xfId="3241" xr:uid="{00000000-0005-0000-0000-000079090000}"/>
    <cellStyle name="Millares 3 3 3 4" xfId="2056" xr:uid="{00000000-0005-0000-0000-00007A090000}"/>
    <cellStyle name="Millares 3 3 3 4 2" xfId="3638" xr:uid="{00000000-0005-0000-0000-00007B090000}"/>
    <cellStyle name="Millares 3 3 3 5" xfId="1265" xr:uid="{00000000-0005-0000-0000-00007C090000}"/>
    <cellStyle name="Millares 3 3 3 6" xfId="2847" xr:uid="{00000000-0005-0000-0000-00007D090000}"/>
    <cellStyle name="Millares 3 3 4" xfId="537" xr:uid="{00000000-0005-0000-0000-00007E090000}"/>
    <cellStyle name="Millares 3 3 4 2" xfId="944" xr:uid="{00000000-0005-0000-0000-00007F090000}"/>
    <cellStyle name="Millares 3 3 4 2 2" xfId="2527" xr:uid="{00000000-0005-0000-0000-000080090000}"/>
    <cellStyle name="Millares 3 3 4 2 2 2" xfId="4109" xr:uid="{00000000-0005-0000-0000-000081090000}"/>
    <cellStyle name="Millares 3 3 4 2 3" xfId="1736" xr:uid="{00000000-0005-0000-0000-000082090000}"/>
    <cellStyle name="Millares 3 3 4 2 4" xfId="3318" xr:uid="{00000000-0005-0000-0000-000083090000}"/>
    <cellStyle name="Millares 3 3 4 3" xfId="2133" xr:uid="{00000000-0005-0000-0000-000084090000}"/>
    <cellStyle name="Millares 3 3 4 3 2" xfId="3715" xr:uid="{00000000-0005-0000-0000-000085090000}"/>
    <cellStyle name="Millares 3 3 4 4" xfId="1342" xr:uid="{00000000-0005-0000-0000-000086090000}"/>
    <cellStyle name="Millares 3 3 4 5" xfId="2924" xr:uid="{00000000-0005-0000-0000-000087090000}"/>
    <cellStyle name="Millares 3 3 5" xfId="612" xr:uid="{00000000-0005-0000-0000-000088090000}"/>
    <cellStyle name="Millares 3 3 5 2" xfId="1012" xr:uid="{00000000-0005-0000-0000-000089090000}"/>
    <cellStyle name="Millares 3 3 5 2 2" xfId="2595" xr:uid="{00000000-0005-0000-0000-00008A090000}"/>
    <cellStyle name="Millares 3 3 5 2 2 2" xfId="4177" xr:uid="{00000000-0005-0000-0000-00008B090000}"/>
    <cellStyle name="Millares 3 3 5 2 3" xfId="1804" xr:uid="{00000000-0005-0000-0000-00008C090000}"/>
    <cellStyle name="Millares 3 3 5 2 4" xfId="3386" xr:uid="{00000000-0005-0000-0000-00008D090000}"/>
    <cellStyle name="Millares 3 3 5 3" xfId="2201" xr:uid="{00000000-0005-0000-0000-00008E090000}"/>
    <cellStyle name="Millares 3 3 5 3 2" xfId="3783" xr:uid="{00000000-0005-0000-0000-00008F090000}"/>
    <cellStyle name="Millares 3 3 5 4" xfId="1410" xr:uid="{00000000-0005-0000-0000-000090090000}"/>
    <cellStyle name="Millares 3 3 5 5" xfId="2992" xr:uid="{00000000-0005-0000-0000-000091090000}"/>
    <cellStyle name="Millares 3 3 6" xfId="764" xr:uid="{00000000-0005-0000-0000-000092090000}"/>
    <cellStyle name="Millares 3 3 6 2" xfId="1164" xr:uid="{00000000-0005-0000-0000-000093090000}"/>
    <cellStyle name="Millares 3 3 6 2 2" xfId="2747" xr:uid="{00000000-0005-0000-0000-000094090000}"/>
    <cellStyle name="Millares 3 3 6 2 2 2" xfId="4329" xr:uid="{00000000-0005-0000-0000-000095090000}"/>
    <cellStyle name="Millares 3 3 6 2 3" xfId="1956" xr:uid="{00000000-0005-0000-0000-000096090000}"/>
    <cellStyle name="Millares 3 3 6 2 4" xfId="3538" xr:uid="{00000000-0005-0000-0000-000097090000}"/>
    <cellStyle name="Millares 3 3 6 3" xfId="2353" xr:uid="{00000000-0005-0000-0000-000098090000}"/>
    <cellStyle name="Millares 3 3 6 3 2" xfId="3935" xr:uid="{00000000-0005-0000-0000-000099090000}"/>
    <cellStyle name="Millares 3 3 6 4" xfId="1562" xr:uid="{00000000-0005-0000-0000-00009A090000}"/>
    <cellStyle name="Millares 3 3 6 5" xfId="3144" xr:uid="{00000000-0005-0000-0000-00009B090000}"/>
    <cellStyle name="Millares 3 3 7" xfId="791" xr:uid="{00000000-0005-0000-0000-00009C090000}"/>
    <cellStyle name="Millares 3 3 7 2" xfId="2374" xr:uid="{00000000-0005-0000-0000-00009D090000}"/>
    <cellStyle name="Millares 3 3 7 2 2" xfId="3956" xr:uid="{00000000-0005-0000-0000-00009E090000}"/>
    <cellStyle name="Millares 3 3 7 3" xfId="1583" xr:uid="{00000000-0005-0000-0000-00009F090000}"/>
    <cellStyle name="Millares 3 3 7 4" xfId="3165" xr:uid="{00000000-0005-0000-0000-0000A0090000}"/>
    <cellStyle name="Millares 3 3 8" xfId="1980" xr:uid="{00000000-0005-0000-0000-0000A1090000}"/>
    <cellStyle name="Millares 3 3 8 2" xfId="3562" xr:uid="{00000000-0005-0000-0000-0000A2090000}"/>
    <cellStyle name="Millares 3 3 9" xfId="1189" xr:uid="{00000000-0005-0000-0000-0000A3090000}"/>
    <cellStyle name="Millares 3 4" xfId="370" xr:uid="{00000000-0005-0000-0000-0000A4090000}"/>
    <cellStyle name="Millares 3 4 2" xfId="488" xr:uid="{00000000-0005-0000-0000-0000A5090000}"/>
    <cellStyle name="Millares 3 4 2 2" xfId="716" xr:uid="{00000000-0005-0000-0000-0000A6090000}"/>
    <cellStyle name="Millares 3 4 2 2 2" xfId="1116" xr:uid="{00000000-0005-0000-0000-0000A7090000}"/>
    <cellStyle name="Millares 3 4 2 2 2 2" xfId="2699" xr:uid="{00000000-0005-0000-0000-0000A8090000}"/>
    <cellStyle name="Millares 3 4 2 2 2 2 2" xfId="4281" xr:uid="{00000000-0005-0000-0000-0000A9090000}"/>
    <cellStyle name="Millares 3 4 2 2 2 3" xfId="1908" xr:uid="{00000000-0005-0000-0000-0000AA090000}"/>
    <cellStyle name="Millares 3 4 2 2 2 4" xfId="3490" xr:uid="{00000000-0005-0000-0000-0000AB090000}"/>
    <cellStyle name="Millares 3 4 2 2 3" xfId="2305" xr:uid="{00000000-0005-0000-0000-0000AC090000}"/>
    <cellStyle name="Millares 3 4 2 2 3 2" xfId="3887" xr:uid="{00000000-0005-0000-0000-0000AD090000}"/>
    <cellStyle name="Millares 3 4 2 2 4" xfId="1514" xr:uid="{00000000-0005-0000-0000-0000AE090000}"/>
    <cellStyle name="Millares 3 4 2 2 5" xfId="3096" xr:uid="{00000000-0005-0000-0000-0000AF090000}"/>
    <cellStyle name="Millares 3 4 2 3" xfId="895" xr:uid="{00000000-0005-0000-0000-0000B0090000}"/>
    <cellStyle name="Millares 3 4 2 3 2" xfId="2478" xr:uid="{00000000-0005-0000-0000-0000B1090000}"/>
    <cellStyle name="Millares 3 4 2 3 2 2" xfId="4060" xr:uid="{00000000-0005-0000-0000-0000B2090000}"/>
    <cellStyle name="Millares 3 4 2 3 3" xfId="1687" xr:uid="{00000000-0005-0000-0000-0000B3090000}"/>
    <cellStyle name="Millares 3 4 2 3 4" xfId="3269" xr:uid="{00000000-0005-0000-0000-0000B4090000}"/>
    <cellStyle name="Millares 3 4 2 4" xfId="2084" xr:uid="{00000000-0005-0000-0000-0000B5090000}"/>
    <cellStyle name="Millares 3 4 2 4 2" xfId="3666" xr:uid="{00000000-0005-0000-0000-0000B6090000}"/>
    <cellStyle name="Millares 3 4 2 5" xfId="1293" xr:uid="{00000000-0005-0000-0000-0000B7090000}"/>
    <cellStyle name="Millares 3 4 2 6" xfId="2875" xr:uid="{00000000-0005-0000-0000-0000B8090000}"/>
    <cellStyle name="Millares 3 4 3" xfId="565" xr:uid="{00000000-0005-0000-0000-0000B9090000}"/>
    <cellStyle name="Millares 3 4 3 2" xfId="972" xr:uid="{00000000-0005-0000-0000-0000BA090000}"/>
    <cellStyle name="Millares 3 4 3 2 2" xfId="2555" xr:uid="{00000000-0005-0000-0000-0000BB090000}"/>
    <cellStyle name="Millares 3 4 3 2 2 2" xfId="4137" xr:uid="{00000000-0005-0000-0000-0000BC090000}"/>
    <cellStyle name="Millares 3 4 3 2 3" xfId="1764" xr:uid="{00000000-0005-0000-0000-0000BD090000}"/>
    <cellStyle name="Millares 3 4 3 2 4" xfId="3346" xr:uid="{00000000-0005-0000-0000-0000BE090000}"/>
    <cellStyle name="Millares 3 4 3 3" xfId="2161" xr:uid="{00000000-0005-0000-0000-0000BF090000}"/>
    <cellStyle name="Millares 3 4 3 3 2" xfId="3743" xr:uid="{00000000-0005-0000-0000-0000C0090000}"/>
    <cellStyle name="Millares 3 4 3 4" xfId="1370" xr:uid="{00000000-0005-0000-0000-0000C1090000}"/>
    <cellStyle name="Millares 3 4 3 5" xfId="2952" xr:uid="{00000000-0005-0000-0000-0000C2090000}"/>
    <cellStyle name="Millares 3 4 4" xfId="640" xr:uid="{00000000-0005-0000-0000-0000C3090000}"/>
    <cellStyle name="Millares 3 4 4 2" xfId="1040" xr:uid="{00000000-0005-0000-0000-0000C4090000}"/>
    <cellStyle name="Millares 3 4 4 2 2" xfId="2623" xr:uid="{00000000-0005-0000-0000-0000C5090000}"/>
    <cellStyle name="Millares 3 4 4 2 2 2" xfId="4205" xr:uid="{00000000-0005-0000-0000-0000C6090000}"/>
    <cellStyle name="Millares 3 4 4 2 3" xfId="1832" xr:uid="{00000000-0005-0000-0000-0000C7090000}"/>
    <cellStyle name="Millares 3 4 4 2 4" xfId="3414" xr:uid="{00000000-0005-0000-0000-0000C8090000}"/>
    <cellStyle name="Millares 3 4 4 3" xfId="2229" xr:uid="{00000000-0005-0000-0000-0000C9090000}"/>
    <cellStyle name="Millares 3 4 4 3 2" xfId="3811" xr:uid="{00000000-0005-0000-0000-0000CA090000}"/>
    <cellStyle name="Millares 3 4 4 4" xfId="1438" xr:uid="{00000000-0005-0000-0000-0000CB090000}"/>
    <cellStyle name="Millares 3 4 4 5" xfId="3020" xr:uid="{00000000-0005-0000-0000-0000CC090000}"/>
    <cellStyle name="Millares 3 4 5" xfId="819" xr:uid="{00000000-0005-0000-0000-0000CD090000}"/>
    <cellStyle name="Millares 3 4 5 2" xfId="2402" xr:uid="{00000000-0005-0000-0000-0000CE090000}"/>
    <cellStyle name="Millares 3 4 5 2 2" xfId="3984" xr:uid="{00000000-0005-0000-0000-0000CF090000}"/>
    <cellStyle name="Millares 3 4 5 3" xfId="1611" xr:uid="{00000000-0005-0000-0000-0000D0090000}"/>
    <cellStyle name="Millares 3 4 5 4" xfId="3193" xr:uid="{00000000-0005-0000-0000-0000D1090000}"/>
    <cellStyle name="Millares 3 4 6" xfId="2008" xr:uid="{00000000-0005-0000-0000-0000D2090000}"/>
    <cellStyle name="Millares 3 4 6 2" xfId="3590" xr:uid="{00000000-0005-0000-0000-0000D3090000}"/>
    <cellStyle name="Millares 3 4 7" xfId="1217" xr:uid="{00000000-0005-0000-0000-0000D4090000}"/>
    <cellStyle name="Millares 3 4 8" xfId="2799" xr:uid="{00000000-0005-0000-0000-0000D5090000}"/>
    <cellStyle name="Millares 3 5" xfId="447" xr:uid="{00000000-0005-0000-0000-0000D6090000}"/>
    <cellStyle name="Millares 3 5 2" xfId="675" xr:uid="{00000000-0005-0000-0000-0000D7090000}"/>
    <cellStyle name="Millares 3 5 2 2" xfId="1075" xr:uid="{00000000-0005-0000-0000-0000D8090000}"/>
    <cellStyle name="Millares 3 5 2 2 2" xfId="2658" xr:uid="{00000000-0005-0000-0000-0000D9090000}"/>
    <cellStyle name="Millares 3 5 2 2 2 2" xfId="4240" xr:uid="{00000000-0005-0000-0000-0000DA090000}"/>
    <cellStyle name="Millares 3 5 2 2 3" xfId="1867" xr:uid="{00000000-0005-0000-0000-0000DB090000}"/>
    <cellStyle name="Millares 3 5 2 2 4" xfId="3449" xr:uid="{00000000-0005-0000-0000-0000DC090000}"/>
    <cellStyle name="Millares 3 5 2 3" xfId="2264" xr:uid="{00000000-0005-0000-0000-0000DD090000}"/>
    <cellStyle name="Millares 3 5 2 3 2" xfId="3846" xr:uid="{00000000-0005-0000-0000-0000DE090000}"/>
    <cellStyle name="Millares 3 5 2 4" xfId="1473" xr:uid="{00000000-0005-0000-0000-0000DF090000}"/>
    <cellStyle name="Millares 3 5 2 5" xfId="3055" xr:uid="{00000000-0005-0000-0000-0000E0090000}"/>
    <cellStyle name="Millares 3 5 3" xfId="854" xr:uid="{00000000-0005-0000-0000-0000E1090000}"/>
    <cellStyle name="Millares 3 5 3 2" xfId="2437" xr:uid="{00000000-0005-0000-0000-0000E2090000}"/>
    <cellStyle name="Millares 3 5 3 2 2" xfId="4019" xr:uid="{00000000-0005-0000-0000-0000E3090000}"/>
    <cellStyle name="Millares 3 5 3 3" xfId="1646" xr:uid="{00000000-0005-0000-0000-0000E4090000}"/>
    <cellStyle name="Millares 3 5 3 4" xfId="3228" xr:uid="{00000000-0005-0000-0000-0000E5090000}"/>
    <cellStyle name="Millares 3 5 4" xfId="2043" xr:uid="{00000000-0005-0000-0000-0000E6090000}"/>
    <cellStyle name="Millares 3 5 4 2" xfId="3625" xr:uid="{00000000-0005-0000-0000-0000E7090000}"/>
    <cellStyle name="Millares 3 5 5" xfId="1252" xr:uid="{00000000-0005-0000-0000-0000E8090000}"/>
    <cellStyle name="Millares 3 5 6" xfId="2834" xr:uid="{00000000-0005-0000-0000-0000E9090000}"/>
    <cellStyle name="Millares 3 6" xfId="524" xr:uid="{00000000-0005-0000-0000-0000EA090000}"/>
    <cellStyle name="Millares 3 6 2" xfId="931" xr:uid="{00000000-0005-0000-0000-0000EB090000}"/>
    <cellStyle name="Millares 3 6 2 2" xfId="2514" xr:uid="{00000000-0005-0000-0000-0000EC090000}"/>
    <cellStyle name="Millares 3 6 2 2 2" xfId="4096" xr:uid="{00000000-0005-0000-0000-0000ED090000}"/>
    <cellStyle name="Millares 3 6 2 3" xfId="1723" xr:uid="{00000000-0005-0000-0000-0000EE090000}"/>
    <cellStyle name="Millares 3 6 2 4" xfId="3305" xr:uid="{00000000-0005-0000-0000-0000EF090000}"/>
    <cellStyle name="Millares 3 6 3" xfId="2120" xr:uid="{00000000-0005-0000-0000-0000F0090000}"/>
    <cellStyle name="Millares 3 6 3 2" xfId="3702" xr:uid="{00000000-0005-0000-0000-0000F1090000}"/>
    <cellStyle name="Millares 3 6 4" xfId="1329" xr:uid="{00000000-0005-0000-0000-0000F2090000}"/>
    <cellStyle name="Millares 3 6 5" xfId="2911" xr:uid="{00000000-0005-0000-0000-0000F3090000}"/>
    <cellStyle name="Millares 3 7" xfId="599" xr:uid="{00000000-0005-0000-0000-0000F4090000}"/>
    <cellStyle name="Millares 3 7 2" xfId="999" xr:uid="{00000000-0005-0000-0000-0000F5090000}"/>
    <cellStyle name="Millares 3 7 2 2" xfId="2582" xr:uid="{00000000-0005-0000-0000-0000F6090000}"/>
    <cellStyle name="Millares 3 7 2 2 2" xfId="4164" xr:uid="{00000000-0005-0000-0000-0000F7090000}"/>
    <cellStyle name="Millares 3 7 2 3" xfId="1791" xr:uid="{00000000-0005-0000-0000-0000F8090000}"/>
    <cellStyle name="Millares 3 7 2 4" xfId="3373" xr:uid="{00000000-0005-0000-0000-0000F9090000}"/>
    <cellStyle name="Millares 3 7 3" xfId="2188" xr:uid="{00000000-0005-0000-0000-0000FA090000}"/>
    <cellStyle name="Millares 3 7 3 2" xfId="3770" xr:uid="{00000000-0005-0000-0000-0000FB090000}"/>
    <cellStyle name="Millares 3 7 4" xfId="1397" xr:uid="{00000000-0005-0000-0000-0000FC090000}"/>
    <cellStyle name="Millares 3 7 5" xfId="2979" xr:uid="{00000000-0005-0000-0000-0000FD090000}"/>
    <cellStyle name="Millares 3 8" xfId="751" xr:uid="{00000000-0005-0000-0000-0000FE090000}"/>
    <cellStyle name="Millares 3 8 2" xfId="1151" xr:uid="{00000000-0005-0000-0000-0000FF090000}"/>
    <cellStyle name="Millares 3 8 2 2" xfId="2734" xr:uid="{00000000-0005-0000-0000-0000000A0000}"/>
    <cellStyle name="Millares 3 8 2 2 2" xfId="4316" xr:uid="{00000000-0005-0000-0000-0000010A0000}"/>
    <cellStyle name="Millares 3 8 2 3" xfId="1943" xr:uid="{00000000-0005-0000-0000-0000020A0000}"/>
    <cellStyle name="Millares 3 8 2 4" xfId="3525" xr:uid="{00000000-0005-0000-0000-0000030A0000}"/>
    <cellStyle name="Millares 3 8 3" xfId="2340" xr:uid="{00000000-0005-0000-0000-0000040A0000}"/>
    <cellStyle name="Millares 3 8 3 2" xfId="3922" xr:uid="{00000000-0005-0000-0000-0000050A0000}"/>
    <cellStyle name="Millares 3 8 4" xfId="1549" xr:uid="{00000000-0005-0000-0000-0000060A0000}"/>
    <cellStyle name="Millares 3 8 5" xfId="3131" xr:uid="{00000000-0005-0000-0000-0000070A0000}"/>
    <cellStyle name="Millares 3 9" xfId="778" xr:uid="{00000000-0005-0000-0000-0000080A0000}"/>
    <cellStyle name="Millares 3 9 2" xfId="2361" xr:uid="{00000000-0005-0000-0000-0000090A0000}"/>
    <cellStyle name="Millares 3 9 2 2" xfId="3943" xr:uid="{00000000-0005-0000-0000-00000A0A0000}"/>
    <cellStyle name="Millares 3 9 3" xfId="1570" xr:uid="{00000000-0005-0000-0000-00000B0A0000}"/>
    <cellStyle name="Millares 3 9 4" xfId="3152" xr:uid="{00000000-0005-0000-0000-00000C0A0000}"/>
    <cellStyle name="Millares 30" xfId="431" xr:uid="{00000000-0005-0000-0000-00000D0A0000}"/>
    <cellStyle name="Millares 30 2" xfId="507" xr:uid="{00000000-0005-0000-0000-00000E0A0000}"/>
    <cellStyle name="Millares 30 2 2" xfId="735" xr:uid="{00000000-0005-0000-0000-00000F0A0000}"/>
    <cellStyle name="Millares 30 2 2 2" xfId="1135" xr:uid="{00000000-0005-0000-0000-0000100A0000}"/>
    <cellStyle name="Millares 30 2 2 2 2" xfId="2718" xr:uid="{00000000-0005-0000-0000-0000110A0000}"/>
    <cellStyle name="Millares 30 2 2 2 2 2" xfId="4300" xr:uid="{00000000-0005-0000-0000-0000120A0000}"/>
    <cellStyle name="Millares 30 2 2 2 3" xfId="1927" xr:uid="{00000000-0005-0000-0000-0000130A0000}"/>
    <cellStyle name="Millares 30 2 2 2 4" xfId="3509" xr:uid="{00000000-0005-0000-0000-0000140A0000}"/>
    <cellStyle name="Millares 30 2 2 3" xfId="2324" xr:uid="{00000000-0005-0000-0000-0000150A0000}"/>
    <cellStyle name="Millares 30 2 2 3 2" xfId="3906" xr:uid="{00000000-0005-0000-0000-0000160A0000}"/>
    <cellStyle name="Millares 30 2 2 4" xfId="1533" xr:uid="{00000000-0005-0000-0000-0000170A0000}"/>
    <cellStyle name="Millares 30 2 2 5" xfId="3115" xr:uid="{00000000-0005-0000-0000-0000180A0000}"/>
    <cellStyle name="Millares 30 2 3" xfId="914" xr:uid="{00000000-0005-0000-0000-0000190A0000}"/>
    <cellStyle name="Millares 30 2 3 2" xfId="2497" xr:uid="{00000000-0005-0000-0000-00001A0A0000}"/>
    <cellStyle name="Millares 30 2 3 2 2" xfId="4079" xr:uid="{00000000-0005-0000-0000-00001B0A0000}"/>
    <cellStyle name="Millares 30 2 3 3" xfId="1706" xr:uid="{00000000-0005-0000-0000-00001C0A0000}"/>
    <cellStyle name="Millares 30 2 3 4" xfId="3288" xr:uid="{00000000-0005-0000-0000-00001D0A0000}"/>
    <cellStyle name="Millares 30 2 4" xfId="2103" xr:uid="{00000000-0005-0000-0000-00001E0A0000}"/>
    <cellStyle name="Millares 30 2 4 2" xfId="3685" xr:uid="{00000000-0005-0000-0000-00001F0A0000}"/>
    <cellStyle name="Millares 30 2 5" xfId="1312" xr:uid="{00000000-0005-0000-0000-0000200A0000}"/>
    <cellStyle name="Millares 30 2 6" xfId="2894" xr:uid="{00000000-0005-0000-0000-0000210A0000}"/>
    <cellStyle name="Millares 30 3" xfId="584" xr:uid="{00000000-0005-0000-0000-0000220A0000}"/>
    <cellStyle name="Millares 30 3 2" xfId="991" xr:uid="{00000000-0005-0000-0000-0000230A0000}"/>
    <cellStyle name="Millares 30 3 2 2" xfId="2574" xr:uid="{00000000-0005-0000-0000-0000240A0000}"/>
    <cellStyle name="Millares 30 3 2 2 2" xfId="4156" xr:uid="{00000000-0005-0000-0000-0000250A0000}"/>
    <cellStyle name="Millares 30 3 2 3" xfId="1783" xr:uid="{00000000-0005-0000-0000-0000260A0000}"/>
    <cellStyle name="Millares 30 3 2 4" xfId="3365" xr:uid="{00000000-0005-0000-0000-0000270A0000}"/>
    <cellStyle name="Millares 30 3 3" xfId="2180" xr:uid="{00000000-0005-0000-0000-0000280A0000}"/>
    <cellStyle name="Millares 30 3 3 2" xfId="3762" xr:uid="{00000000-0005-0000-0000-0000290A0000}"/>
    <cellStyle name="Millares 30 3 4" xfId="1389" xr:uid="{00000000-0005-0000-0000-00002A0A0000}"/>
    <cellStyle name="Millares 30 3 5" xfId="2971" xr:uid="{00000000-0005-0000-0000-00002B0A0000}"/>
    <cellStyle name="Millares 30 4" xfId="659" xr:uid="{00000000-0005-0000-0000-00002C0A0000}"/>
    <cellStyle name="Millares 30 4 2" xfId="1059" xr:uid="{00000000-0005-0000-0000-00002D0A0000}"/>
    <cellStyle name="Millares 30 4 2 2" xfId="2642" xr:uid="{00000000-0005-0000-0000-00002E0A0000}"/>
    <cellStyle name="Millares 30 4 2 2 2" xfId="4224" xr:uid="{00000000-0005-0000-0000-00002F0A0000}"/>
    <cellStyle name="Millares 30 4 2 3" xfId="1851" xr:uid="{00000000-0005-0000-0000-0000300A0000}"/>
    <cellStyle name="Millares 30 4 2 4" xfId="3433" xr:uid="{00000000-0005-0000-0000-0000310A0000}"/>
    <cellStyle name="Millares 30 4 3" xfId="2248" xr:uid="{00000000-0005-0000-0000-0000320A0000}"/>
    <cellStyle name="Millares 30 4 3 2" xfId="3830" xr:uid="{00000000-0005-0000-0000-0000330A0000}"/>
    <cellStyle name="Millares 30 4 4" xfId="1457" xr:uid="{00000000-0005-0000-0000-0000340A0000}"/>
    <cellStyle name="Millares 30 4 5" xfId="3039" xr:uid="{00000000-0005-0000-0000-0000350A0000}"/>
    <cellStyle name="Millares 30 5" xfId="838" xr:uid="{00000000-0005-0000-0000-0000360A0000}"/>
    <cellStyle name="Millares 30 5 2" xfId="2421" xr:uid="{00000000-0005-0000-0000-0000370A0000}"/>
    <cellStyle name="Millares 30 5 2 2" xfId="4003" xr:uid="{00000000-0005-0000-0000-0000380A0000}"/>
    <cellStyle name="Millares 30 5 3" xfId="1630" xr:uid="{00000000-0005-0000-0000-0000390A0000}"/>
    <cellStyle name="Millares 30 5 4" xfId="3212" xr:uid="{00000000-0005-0000-0000-00003A0A0000}"/>
    <cellStyle name="Millares 30 6" xfId="2027" xr:uid="{00000000-0005-0000-0000-00003B0A0000}"/>
    <cellStyle name="Millares 30 6 2" xfId="3609" xr:uid="{00000000-0005-0000-0000-00003C0A0000}"/>
    <cellStyle name="Millares 30 7" xfId="1236" xr:uid="{00000000-0005-0000-0000-00003D0A0000}"/>
    <cellStyle name="Millares 30 8" xfId="2818" xr:uid="{00000000-0005-0000-0000-00003E0A0000}"/>
    <cellStyle name="Millares 31" xfId="345" xr:uid="{00000000-0005-0000-0000-00003F0A0000}"/>
    <cellStyle name="Millares 31 2" xfId="466" xr:uid="{00000000-0005-0000-0000-0000400A0000}"/>
    <cellStyle name="Millares 31 2 2" xfId="694" xr:uid="{00000000-0005-0000-0000-0000410A0000}"/>
    <cellStyle name="Millares 31 2 2 2" xfId="1094" xr:uid="{00000000-0005-0000-0000-0000420A0000}"/>
    <cellStyle name="Millares 31 2 2 2 2" xfId="2677" xr:uid="{00000000-0005-0000-0000-0000430A0000}"/>
    <cellStyle name="Millares 31 2 2 2 2 2" xfId="4259" xr:uid="{00000000-0005-0000-0000-0000440A0000}"/>
    <cellStyle name="Millares 31 2 2 2 3" xfId="1886" xr:uid="{00000000-0005-0000-0000-0000450A0000}"/>
    <cellStyle name="Millares 31 2 2 2 4" xfId="3468" xr:uid="{00000000-0005-0000-0000-0000460A0000}"/>
    <cellStyle name="Millares 31 2 2 3" xfId="2283" xr:uid="{00000000-0005-0000-0000-0000470A0000}"/>
    <cellStyle name="Millares 31 2 2 3 2" xfId="3865" xr:uid="{00000000-0005-0000-0000-0000480A0000}"/>
    <cellStyle name="Millares 31 2 2 4" xfId="1492" xr:uid="{00000000-0005-0000-0000-0000490A0000}"/>
    <cellStyle name="Millares 31 2 2 5" xfId="3074" xr:uid="{00000000-0005-0000-0000-00004A0A0000}"/>
    <cellStyle name="Millares 31 2 3" xfId="873" xr:uid="{00000000-0005-0000-0000-00004B0A0000}"/>
    <cellStyle name="Millares 31 2 3 2" xfId="2456" xr:uid="{00000000-0005-0000-0000-00004C0A0000}"/>
    <cellStyle name="Millares 31 2 3 2 2" xfId="4038" xr:uid="{00000000-0005-0000-0000-00004D0A0000}"/>
    <cellStyle name="Millares 31 2 3 3" xfId="1665" xr:uid="{00000000-0005-0000-0000-00004E0A0000}"/>
    <cellStyle name="Millares 31 2 3 4" xfId="3247" xr:uid="{00000000-0005-0000-0000-00004F0A0000}"/>
    <cellStyle name="Millares 31 2 4" xfId="2062" xr:uid="{00000000-0005-0000-0000-0000500A0000}"/>
    <cellStyle name="Millares 31 2 4 2" xfId="3644" xr:uid="{00000000-0005-0000-0000-0000510A0000}"/>
    <cellStyle name="Millares 31 2 5" xfId="1271" xr:uid="{00000000-0005-0000-0000-0000520A0000}"/>
    <cellStyle name="Millares 31 2 6" xfId="2853" xr:uid="{00000000-0005-0000-0000-0000530A0000}"/>
    <cellStyle name="Millares 31 3" xfId="543" xr:uid="{00000000-0005-0000-0000-0000540A0000}"/>
    <cellStyle name="Millares 31 3 2" xfId="950" xr:uid="{00000000-0005-0000-0000-0000550A0000}"/>
    <cellStyle name="Millares 31 3 2 2" xfId="2533" xr:uid="{00000000-0005-0000-0000-0000560A0000}"/>
    <cellStyle name="Millares 31 3 2 2 2" xfId="4115" xr:uid="{00000000-0005-0000-0000-0000570A0000}"/>
    <cellStyle name="Millares 31 3 2 3" xfId="1742" xr:uid="{00000000-0005-0000-0000-0000580A0000}"/>
    <cellStyle name="Millares 31 3 2 4" xfId="3324" xr:uid="{00000000-0005-0000-0000-0000590A0000}"/>
    <cellStyle name="Millares 31 3 3" xfId="2139" xr:uid="{00000000-0005-0000-0000-00005A0A0000}"/>
    <cellStyle name="Millares 31 3 3 2" xfId="3721" xr:uid="{00000000-0005-0000-0000-00005B0A0000}"/>
    <cellStyle name="Millares 31 3 4" xfId="1348" xr:uid="{00000000-0005-0000-0000-00005C0A0000}"/>
    <cellStyle name="Millares 31 3 5" xfId="2930" xr:uid="{00000000-0005-0000-0000-00005D0A0000}"/>
    <cellStyle name="Millares 31 4" xfId="618" xr:uid="{00000000-0005-0000-0000-00005E0A0000}"/>
    <cellStyle name="Millares 31 4 2" xfId="1018" xr:uid="{00000000-0005-0000-0000-00005F0A0000}"/>
    <cellStyle name="Millares 31 4 2 2" xfId="2601" xr:uid="{00000000-0005-0000-0000-0000600A0000}"/>
    <cellStyle name="Millares 31 4 2 2 2" xfId="4183" xr:uid="{00000000-0005-0000-0000-0000610A0000}"/>
    <cellStyle name="Millares 31 4 2 3" xfId="1810" xr:uid="{00000000-0005-0000-0000-0000620A0000}"/>
    <cellStyle name="Millares 31 4 2 4" xfId="3392" xr:uid="{00000000-0005-0000-0000-0000630A0000}"/>
    <cellStyle name="Millares 31 4 3" xfId="2207" xr:uid="{00000000-0005-0000-0000-0000640A0000}"/>
    <cellStyle name="Millares 31 4 3 2" xfId="3789" xr:uid="{00000000-0005-0000-0000-0000650A0000}"/>
    <cellStyle name="Millares 31 4 4" xfId="1416" xr:uid="{00000000-0005-0000-0000-0000660A0000}"/>
    <cellStyle name="Millares 31 4 5" xfId="2998" xr:uid="{00000000-0005-0000-0000-0000670A0000}"/>
    <cellStyle name="Millares 31 5" xfId="797" xr:uid="{00000000-0005-0000-0000-0000680A0000}"/>
    <cellStyle name="Millares 31 5 2" xfId="2380" xr:uid="{00000000-0005-0000-0000-0000690A0000}"/>
    <cellStyle name="Millares 31 5 2 2" xfId="3962" xr:uid="{00000000-0005-0000-0000-00006A0A0000}"/>
    <cellStyle name="Millares 31 5 3" xfId="1589" xr:uid="{00000000-0005-0000-0000-00006B0A0000}"/>
    <cellStyle name="Millares 31 5 4" xfId="3171" xr:uid="{00000000-0005-0000-0000-00006C0A0000}"/>
    <cellStyle name="Millares 31 6" xfId="1986" xr:uid="{00000000-0005-0000-0000-00006D0A0000}"/>
    <cellStyle name="Millares 31 6 2" xfId="3568" xr:uid="{00000000-0005-0000-0000-00006E0A0000}"/>
    <cellStyle name="Millares 31 7" xfId="1195" xr:uid="{00000000-0005-0000-0000-00006F0A0000}"/>
    <cellStyle name="Millares 31 8" xfId="2777" xr:uid="{00000000-0005-0000-0000-0000700A0000}"/>
    <cellStyle name="Millares 32" xfId="355" xr:uid="{00000000-0005-0000-0000-0000710A0000}"/>
    <cellStyle name="Millares 32 2" xfId="476" xr:uid="{00000000-0005-0000-0000-0000720A0000}"/>
    <cellStyle name="Millares 32 2 2" xfId="704" xr:uid="{00000000-0005-0000-0000-0000730A0000}"/>
    <cellStyle name="Millares 32 2 2 2" xfId="1104" xr:uid="{00000000-0005-0000-0000-0000740A0000}"/>
    <cellStyle name="Millares 32 2 2 2 2" xfId="2687" xr:uid="{00000000-0005-0000-0000-0000750A0000}"/>
    <cellStyle name="Millares 32 2 2 2 2 2" xfId="4269" xr:uid="{00000000-0005-0000-0000-0000760A0000}"/>
    <cellStyle name="Millares 32 2 2 2 3" xfId="1896" xr:uid="{00000000-0005-0000-0000-0000770A0000}"/>
    <cellStyle name="Millares 32 2 2 2 4" xfId="3478" xr:uid="{00000000-0005-0000-0000-0000780A0000}"/>
    <cellStyle name="Millares 32 2 2 3" xfId="2293" xr:uid="{00000000-0005-0000-0000-0000790A0000}"/>
    <cellStyle name="Millares 32 2 2 3 2" xfId="3875" xr:uid="{00000000-0005-0000-0000-00007A0A0000}"/>
    <cellStyle name="Millares 32 2 2 4" xfId="1502" xr:uid="{00000000-0005-0000-0000-00007B0A0000}"/>
    <cellStyle name="Millares 32 2 2 5" xfId="3084" xr:uid="{00000000-0005-0000-0000-00007C0A0000}"/>
    <cellStyle name="Millares 32 2 3" xfId="883" xr:uid="{00000000-0005-0000-0000-00007D0A0000}"/>
    <cellStyle name="Millares 32 2 3 2" xfId="2466" xr:uid="{00000000-0005-0000-0000-00007E0A0000}"/>
    <cellStyle name="Millares 32 2 3 2 2" xfId="4048" xr:uid="{00000000-0005-0000-0000-00007F0A0000}"/>
    <cellStyle name="Millares 32 2 3 3" xfId="1675" xr:uid="{00000000-0005-0000-0000-0000800A0000}"/>
    <cellStyle name="Millares 32 2 3 4" xfId="3257" xr:uid="{00000000-0005-0000-0000-0000810A0000}"/>
    <cellStyle name="Millares 32 2 4" xfId="2072" xr:uid="{00000000-0005-0000-0000-0000820A0000}"/>
    <cellStyle name="Millares 32 2 4 2" xfId="3654" xr:uid="{00000000-0005-0000-0000-0000830A0000}"/>
    <cellStyle name="Millares 32 2 5" xfId="1281" xr:uid="{00000000-0005-0000-0000-0000840A0000}"/>
    <cellStyle name="Millares 32 2 6" xfId="2863" xr:uid="{00000000-0005-0000-0000-0000850A0000}"/>
    <cellStyle name="Millares 32 3" xfId="553" xr:uid="{00000000-0005-0000-0000-0000860A0000}"/>
    <cellStyle name="Millares 32 3 2" xfId="960" xr:uid="{00000000-0005-0000-0000-0000870A0000}"/>
    <cellStyle name="Millares 32 3 2 2" xfId="2543" xr:uid="{00000000-0005-0000-0000-0000880A0000}"/>
    <cellStyle name="Millares 32 3 2 2 2" xfId="4125" xr:uid="{00000000-0005-0000-0000-0000890A0000}"/>
    <cellStyle name="Millares 32 3 2 3" xfId="1752" xr:uid="{00000000-0005-0000-0000-00008A0A0000}"/>
    <cellStyle name="Millares 32 3 2 4" xfId="3334" xr:uid="{00000000-0005-0000-0000-00008B0A0000}"/>
    <cellStyle name="Millares 32 3 3" xfId="2149" xr:uid="{00000000-0005-0000-0000-00008C0A0000}"/>
    <cellStyle name="Millares 32 3 3 2" xfId="3731" xr:uid="{00000000-0005-0000-0000-00008D0A0000}"/>
    <cellStyle name="Millares 32 3 4" xfId="1358" xr:uid="{00000000-0005-0000-0000-00008E0A0000}"/>
    <cellStyle name="Millares 32 3 5" xfId="2940" xr:uid="{00000000-0005-0000-0000-00008F0A0000}"/>
    <cellStyle name="Millares 32 4" xfId="628" xr:uid="{00000000-0005-0000-0000-0000900A0000}"/>
    <cellStyle name="Millares 32 4 2" xfId="1028" xr:uid="{00000000-0005-0000-0000-0000910A0000}"/>
    <cellStyle name="Millares 32 4 2 2" xfId="2611" xr:uid="{00000000-0005-0000-0000-0000920A0000}"/>
    <cellStyle name="Millares 32 4 2 2 2" xfId="4193" xr:uid="{00000000-0005-0000-0000-0000930A0000}"/>
    <cellStyle name="Millares 32 4 2 3" xfId="1820" xr:uid="{00000000-0005-0000-0000-0000940A0000}"/>
    <cellStyle name="Millares 32 4 2 4" xfId="3402" xr:uid="{00000000-0005-0000-0000-0000950A0000}"/>
    <cellStyle name="Millares 32 4 3" xfId="2217" xr:uid="{00000000-0005-0000-0000-0000960A0000}"/>
    <cellStyle name="Millares 32 4 3 2" xfId="3799" xr:uid="{00000000-0005-0000-0000-0000970A0000}"/>
    <cellStyle name="Millares 32 4 4" xfId="1426" xr:uid="{00000000-0005-0000-0000-0000980A0000}"/>
    <cellStyle name="Millares 32 4 5" xfId="3008" xr:uid="{00000000-0005-0000-0000-0000990A0000}"/>
    <cellStyle name="Millares 32 5" xfId="807" xr:uid="{00000000-0005-0000-0000-00009A0A0000}"/>
    <cellStyle name="Millares 32 5 2" xfId="2390" xr:uid="{00000000-0005-0000-0000-00009B0A0000}"/>
    <cellStyle name="Millares 32 5 2 2" xfId="3972" xr:uid="{00000000-0005-0000-0000-00009C0A0000}"/>
    <cellStyle name="Millares 32 5 3" xfId="1599" xr:uid="{00000000-0005-0000-0000-00009D0A0000}"/>
    <cellStyle name="Millares 32 5 4" xfId="3181" xr:uid="{00000000-0005-0000-0000-00009E0A0000}"/>
    <cellStyle name="Millares 32 6" xfId="1996" xr:uid="{00000000-0005-0000-0000-00009F0A0000}"/>
    <cellStyle name="Millares 32 6 2" xfId="3578" xr:uid="{00000000-0005-0000-0000-0000A00A0000}"/>
    <cellStyle name="Millares 32 7" xfId="1205" xr:uid="{00000000-0005-0000-0000-0000A10A0000}"/>
    <cellStyle name="Millares 32 8" xfId="2787" xr:uid="{00000000-0005-0000-0000-0000A20A0000}"/>
    <cellStyle name="Millares 33" xfId="436" xr:uid="{00000000-0005-0000-0000-0000A30A0000}"/>
    <cellStyle name="Millares 33 2" xfId="512" xr:uid="{00000000-0005-0000-0000-0000A40A0000}"/>
    <cellStyle name="Millares 33 2 2" xfId="740" xr:uid="{00000000-0005-0000-0000-0000A50A0000}"/>
    <cellStyle name="Millares 33 2 2 2" xfId="1140" xr:uid="{00000000-0005-0000-0000-0000A60A0000}"/>
    <cellStyle name="Millares 33 2 2 2 2" xfId="2723" xr:uid="{00000000-0005-0000-0000-0000A70A0000}"/>
    <cellStyle name="Millares 33 2 2 2 2 2" xfId="4305" xr:uid="{00000000-0005-0000-0000-0000A80A0000}"/>
    <cellStyle name="Millares 33 2 2 2 3" xfId="1932" xr:uid="{00000000-0005-0000-0000-0000A90A0000}"/>
    <cellStyle name="Millares 33 2 2 2 4" xfId="3514" xr:uid="{00000000-0005-0000-0000-0000AA0A0000}"/>
    <cellStyle name="Millares 33 2 2 3" xfId="2329" xr:uid="{00000000-0005-0000-0000-0000AB0A0000}"/>
    <cellStyle name="Millares 33 2 2 3 2" xfId="3911" xr:uid="{00000000-0005-0000-0000-0000AC0A0000}"/>
    <cellStyle name="Millares 33 2 2 4" xfId="1538" xr:uid="{00000000-0005-0000-0000-0000AD0A0000}"/>
    <cellStyle name="Millares 33 2 2 5" xfId="3120" xr:uid="{00000000-0005-0000-0000-0000AE0A0000}"/>
    <cellStyle name="Millares 33 2 3" xfId="919" xr:uid="{00000000-0005-0000-0000-0000AF0A0000}"/>
    <cellStyle name="Millares 33 2 3 2" xfId="2502" xr:uid="{00000000-0005-0000-0000-0000B00A0000}"/>
    <cellStyle name="Millares 33 2 3 2 2" xfId="4084" xr:uid="{00000000-0005-0000-0000-0000B10A0000}"/>
    <cellStyle name="Millares 33 2 3 3" xfId="1711" xr:uid="{00000000-0005-0000-0000-0000B20A0000}"/>
    <cellStyle name="Millares 33 2 3 4" xfId="3293" xr:uid="{00000000-0005-0000-0000-0000B30A0000}"/>
    <cellStyle name="Millares 33 2 4" xfId="2108" xr:uid="{00000000-0005-0000-0000-0000B40A0000}"/>
    <cellStyle name="Millares 33 2 4 2" xfId="3690" xr:uid="{00000000-0005-0000-0000-0000B50A0000}"/>
    <cellStyle name="Millares 33 2 5" xfId="1317" xr:uid="{00000000-0005-0000-0000-0000B60A0000}"/>
    <cellStyle name="Millares 33 2 6" xfId="2899" xr:uid="{00000000-0005-0000-0000-0000B70A0000}"/>
    <cellStyle name="Millares 33 3" xfId="589" xr:uid="{00000000-0005-0000-0000-0000B80A0000}"/>
    <cellStyle name="Millares 33 3 2" xfId="996" xr:uid="{00000000-0005-0000-0000-0000B90A0000}"/>
    <cellStyle name="Millares 33 3 2 2" xfId="2579" xr:uid="{00000000-0005-0000-0000-0000BA0A0000}"/>
    <cellStyle name="Millares 33 3 2 2 2" xfId="4161" xr:uid="{00000000-0005-0000-0000-0000BB0A0000}"/>
    <cellStyle name="Millares 33 3 2 3" xfId="1788" xr:uid="{00000000-0005-0000-0000-0000BC0A0000}"/>
    <cellStyle name="Millares 33 3 2 4" xfId="3370" xr:uid="{00000000-0005-0000-0000-0000BD0A0000}"/>
    <cellStyle name="Millares 33 3 3" xfId="2185" xr:uid="{00000000-0005-0000-0000-0000BE0A0000}"/>
    <cellStyle name="Millares 33 3 3 2" xfId="3767" xr:uid="{00000000-0005-0000-0000-0000BF0A0000}"/>
    <cellStyle name="Millares 33 3 4" xfId="1394" xr:uid="{00000000-0005-0000-0000-0000C00A0000}"/>
    <cellStyle name="Millares 33 3 5" xfId="2976" xr:uid="{00000000-0005-0000-0000-0000C10A0000}"/>
    <cellStyle name="Millares 33 4" xfId="664" xr:uid="{00000000-0005-0000-0000-0000C20A0000}"/>
    <cellStyle name="Millares 33 4 2" xfId="1064" xr:uid="{00000000-0005-0000-0000-0000C30A0000}"/>
    <cellStyle name="Millares 33 4 2 2" xfId="2647" xr:uid="{00000000-0005-0000-0000-0000C40A0000}"/>
    <cellStyle name="Millares 33 4 2 2 2" xfId="4229" xr:uid="{00000000-0005-0000-0000-0000C50A0000}"/>
    <cellStyle name="Millares 33 4 2 3" xfId="1856" xr:uid="{00000000-0005-0000-0000-0000C60A0000}"/>
    <cellStyle name="Millares 33 4 2 4" xfId="3438" xr:uid="{00000000-0005-0000-0000-0000C70A0000}"/>
    <cellStyle name="Millares 33 4 3" xfId="2253" xr:uid="{00000000-0005-0000-0000-0000C80A0000}"/>
    <cellStyle name="Millares 33 4 3 2" xfId="3835" xr:uid="{00000000-0005-0000-0000-0000C90A0000}"/>
    <cellStyle name="Millares 33 4 4" xfId="1462" xr:uid="{00000000-0005-0000-0000-0000CA0A0000}"/>
    <cellStyle name="Millares 33 4 5" xfId="3044" xr:uid="{00000000-0005-0000-0000-0000CB0A0000}"/>
    <cellStyle name="Millares 33 5" xfId="843" xr:uid="{00000000-0005-0000-0000-0000CC0A0000}"/>
    <cellStyle name="Millares 33 5 2" xfId="2426" xr:uid="{00000000-0005-0000-0000-0000CD0A0000}"/>
    <cellStyle name="Millares 33 5 2 2" xfId="4008" xr:uid="{00000000-0005-0000-0000-0000CE0A0000}"/>
    <cellStyle name="Millares 33 5 3" xfId="1635" xr:uid="{00000000-0005-0000-0000-0000CF0A0000}"/>
    <cellStyle name="Millares 33 5 4" xfId="3217" xr:uid="{00000000-0005-0000-0000-0000D00A0000}"/>
    <cellStyle name="Millares 33 6" xfId="2032" xr:uid="{00000000-0005-0000-0000-0000D10A0000}"/>
    <cellStyle name="Millares 33 6 2" xfId="3614" xr:uid="{00000000-0005-0000-0000-0000D20A0000}"/>
    <cellStyle name="Millares 33 7" xfId="1241" xr:uid="{00000000-0005-0000-0000-0000D30A0000}"/>
    <cellStyle name="Millares 33 8" xfId="2823" xr:uid="{00000000-0005-0000-0000-0000D40A0000}"/>
    <cellStyle name="Millares 34" xfId="364" xr:uid="{00000000-0005-0000-0000-0000D50A0000}"/>
    <cellStyle name="Millares 34 2" xfId="482" xr:uid="{00000000-0005-0000-0000-0000D60A0000}"/>
    <cellStyle name="Millares 34 2 2" xfId="710" xr:uid="{00000000-0005-0000-0000-0000D70A0000}"/>
    <cellStyle name="Millares 34 2 2 2" xfId="1110" xr:uid="{00000000-0005-0000-0000-0000D80A0000}"/>
    <cellStyle name="Millares 34 2 2 2 2" xfId="2693" xr:uid="{00000000-0005-0000-0000-0000D90A0000}"/>
    <cellStyle name="Millares 34 2 2 2 2 2" xfId="4275" xr:uid="{00000000-0005-0000-0000-0000DA0A0000}"/>
    <cellStyle name="Millares 34 2 2 2 3" xfId="1902" xr:uid="{00000000-0005-0000-0000-0000DB0A0000}"/>
    <cellStyle name="Millares 34 2 2 2 4" xfId="3484" xr:uid="{00000000-0005-0000-0000-0000DC0A0000}"/>
    <cellStyle name="Millares 34 2 2 3" xfId="2299" xr:uid="{00000000-0005-0000-0000-0000DD0A0000}"/>
    <cellStyle name="Millares 34 2 2 3 2" xfId="3881" xr:uid="{00000000-0005-0000-0000-0000DE0A0000}"/>
    <cellStyle name="Millares 34 2 2 4" xfId="1508" xr:uid="{00000000-0005-0000-0000-0000DF0A0000}"/>
    <cellStyle name="Millares 34 2 2 5" xfId="3090" xr:uid="{00000000-0005-0000-0000-0000E00A0000}"/>
    <cellStyle name="Millares 34 2 3" xfId="889" xr:uid="{00000000-0005-0000-0000-0000E10A0000}"/>
    <cellStyle name="Millares 34 2 3 2" xfId="2472" xr:uid="{00000000-0005-0000-0000-0000E20A0000}"/>
    <cellStyle name="Millares 34 2 3 2 2" xfId="4054" xr:uid="{00000000-0005-0000-0000-0000E30A0000}"/>
    <cellStyle name="Millares 34 2 3 3" xfId="1681" xr:uid="{00000000-0005-0000-0000-0000E40A0000}"/>
    <cellStyle name="Millares 34 2 3 4" xfId="3263" xr:uid="{00000000-0005-0000-0000-0000E50A0000}"/>
    <cellStyle name="Millares 34 2 4" xfId="2078" xr:uid="{00000000-0005-0000-0000-0000E60A0000}"/>
    <cellStyle name="Millares 34 2 4 2" xfId="3660" xr:uid="{00000000-0005-0000-0000-0000E70A0000}"/>
    <cellStyle name="Millares 34 2 5" xfId="1287" xr:uid="{00000000-0005-0000-0000-0000E80A0000}"/>
    <cellStyle name="Millares 34 2 6" xfId="2869" xr:uid="{00000000-0005-0000-0000-0000E90A0000}"/>
    <cellStyle name="Millares 34 3" xfId="559" xr:uid="{00000000-0005-0000-0000-0000EA0A0000}"/>
    <cellStyle name="Millares 34 3 2" xfId="966" xr:uid="{00000000-0005-0000-0000-0000EB0A0000}"/>
    <cellStyle name="Millares 34 3 2 2" xfId="2549" xr:uid="{00000000-0005-0000-0000-0000EC0A0000}"/>
    <cellStyle name="Millares 34 3 2 2 2" xfId="4131" xr:uid="{00000000-0005-0000-0000-0000ED0A0000}"/>
    <cellStyle name="Millares 34 3 2 3" xfId="1758" xr:uid="{00000000-0005-0000-0000-0000EE0A0000}"/>
    <cellStyle name="Millares 34 3 2 4" xfId="3340" xr:uid="{00000000-0005-0000-0000-0000EF0A0000}"/>
    <cellStyle name="Millares 34 3 3" xfId="2155" xr:uid="{00000000-0005-0000-0000-0000F00A0000}"/>
    <cellStyle name="Millares 34 3 3 2" xfId="3737" xr:uid="{00000000-0005-0000-0000-0000F10A0000}"/>
    <cellStyle name="Millares 34 3 4" xfId="1364" xr:uid="{00000000-0005-0000-0000-0000F20A0000}"/>
    <cellStyle name="Millares 34 3 5" xfId="2946" xr:uid="{00000000-0005-0000-0000-0000F30A0000}"/>
    <cellStyle name="Millares 34 4" xfId="634" xr:uid="{00000000-0005-0000-0000-0000F40A0000}"/>
    <cellStyle name="Millares 34 4 2" xfId="1034" xr:uid="{00000000-0005-0000-0000-0000F50A0000}"/>
    <cellStyle name="Millares 34 4 2 2" xfId="2617" xr:uid="{00000000-0005-0000-0000-0000F60A0000}"/>
    <cellStyle name="Millares 34 4 2 2 2" xfId="4199" xr:uid="{00000000-0005-0000-0000-0000F70A0000}"/>
    <cellStyle name="Millares 34 4 2 3" xfId="1826" xr:uid="{00000000-0005-0000-0000-0000F80A0000}"/>
    <cellStyle name="Millares 34 4 2 4" xfId="3408" xr:uid="{00000000-0005-0000-0000-0000F90A0000}"/>
    <cellStyle name="Millares 34 4 3" xfId="2223" xr:uid="{00000000-0005-0000-0000-0000FA0A0000}"/>
    <cellStyle name="Millares 34 4 3 2" xfId="3805" xr:uid="{00000000-0005-0000-0000-0000FB0A0000}"/>
    <cellStyle name="Millares 34 4 4" xfId="1432" xr:uid="{00000000-0005-0000-0000-0000FC0A0000}"/>
    <cellStyle name="Millares 34 4 5" xfId="3014" xr:uid="{00000000-0005-0000-0000-0000FD0A0000}"/>
    <cellStyle name="Millares 34 5" xfId="813" xr:uid="{00000000-0005-0000-0000-0000FE0A0000}"/>
    <cellStyle name="Millares 34 5 2" xfId="2396" xr:uid="{00000000-0005-0000-0000-0000FF0A0000}"/>
    <cellStyle name="Millares 34 5 2 2" xfId="3978" xr:uid="{00000000-0005-0000-0000-0000000B0000}"/>
    <cellStyle name="Millares 34 5 3" xfId="1605" xr:uid="{00000000-0005-0000-0000-0000010B0000}"/>
    <cellStyle name="Millares 34 5 4" xfId="3187" xr:uid="{00000000-0005-0000-0000-0000020B0000}"/>
    <cellStyle name="Millares 34 6" xfId="2002" xr:uid="{00000000-0005-0000-0000-0000030B0000}"/>
    <cellStyle name="Millares 34 6 2" xfId="3584" xr:uid="{00000000-0005-0000-0000-0000040B0000}"/>
    <cellStyle name="Millares 34 7" xfId="1211" xr:uid="{00000000-0005-0000-0000-0000050B0000}"/>
    <cellStyle name="Millares 34 8" xfId="2793" xr:uid="{00000000-0005-0000-0000-0000060B0000}"/>
    <cellStyle name="Millares 35" xfId="352" xr:uid="{00000000-0005-0000-0000-0000070B0000}"/>
    <cellStyle name="Millares 35 2" xfId="473" xr:uid="{00000000-0005-0000-0000-0000080B0000}"/>
    <cellStyle name="Millares 35 2 2" xfId="701" xr:uid="{00000000-0005-0000-0000-0000090B0000}"/>
    <cellStyle name="Millares 35 2 2 2" xfId="1101" xr:uid="{00000000-0005-0000-0000-00000A0B0000}"/>
    <cellStyle name="Millares 35 2 2 2 2" xfId="2684" xr:uid="{00000000-0005-0000-0000-00000B0B0000}"/>
    <cellStyle name="Millares 35 2 2 2 2 2" xfId="4266" xr:uid="{00000000-0005-0000-0000-00000C0B0000}"/>
    <cellStyle name="Millares 35 2 2 2 3" xfId="1893" xr:uid="{00000000-0005-0000-0000-00000D0B0000}"/>
    <cellStyle name="Millares 35 2 2 2 4" xfId="3475" xr:uid="{00000000-0005-0000-0000-00000E0B0000}"/>
    <cellStyle name="Millares 35 2 2 3" xfId="2290" xr:uid="{00000000-0005-0000-0000-00000F0B0000}"/>
    <cellStyle name="Millares 35 2 2 3 2" xfId="3872" xr:uid="{00000000-0005-0000-0000-0000100B0000}"/>
    <cellStyle name="Millares 35 2 2 4" xfId="1499" xr:uid="{00000000-0005-0000-0000-0000110B0000}"/>
    <cellStyle name="Millares 35 2 2 5" xfId="3081" xr:uid="{00000000-0005-0000-0000-0000120B0000}"/>
    <cellStyle name="Millares 35 2 3" xfId="880" xr:uid="{00000000-0005-0000-0000-0000130B0000}"/>
    <cellStyle name="Millares 35 2 3 2" xfId="2463" xr:uid="{00000000-0005-0000-0000-0000140B0000}"/>
    <cellStyle name="Millares 35 2 3 2 2" xfId="4045" xr:uid="{00000000-0005-0000-0000-0000150B0000}"/>
    <cellStyle name="Millares 35 2 3 3" xfId="1672" xr:uid="{00000000-0005-0000-0000-0000160B0000}"/>
    <cellStyle name="Millares 35 2 3 4" xfId="3254" xr:uid="{00000000-0005-0000-0000-0000170B0000}"/>
    <cellStyle name="Millares 35 2 4" xfId="2069" xr:uid="{00000000-0005-0000-0000-0000180B0000}"/>
    <cellStyle name="Millares 35 2 4 2" xfId="3651" xr:uid="{00000000-0005-0000-0000-0000190B0000}"/>
    <cellStyle name="Millares 35 2 5" xfId="1278" xr:uid="{00000000-0005-0000-0000-00001A0B0000}"/>
    <cellStyle name="Millares 35 2 6" xfId="2860" xr:uid="{00000000-0005-0000-0000-00001B0B0000}"/>
    <cellStyle name="Millares 35 3" xfId="550" xr:uid="{00000000-0005-0000-0000-00001C0B0000}"/>
    <cellStyle name="Millares 35 3 2" xfId="957" xr:uid="{00000000-0005-0000-0000-00001D0B0000}"/>
    <cellStyle name="Millares 35 3 2 2" xfId="2540" xr:uid="{00000000-0005-0000-0000-00001E0B0000}"/>
    <cellStyle name="Millares 35 3 2 2 2" xfId="4122" xr:uid="{00000000-0005-0000-0000-00001F0B0000}"/>
    <cellStyle name="Millares 35 3 2 3" xfId="1749" xr:uid="{00000000-0005-0000-0000-0000200B0000}"/>
    <cellStyle name="Millares 35 3 2 4" xfId="3331" xr:uid="{00000000-0005-0000-0000-0000210B0000}"/>
    <cellStyle name="Millares 35 3 3" xfId="2146" xr:uid="{00000000-0005-0000-0000-0000220B0000}"/>
    <cellStyle name="Millares 35 3 3 2" xfId="3728" xr:uid="{00000000-0005-0000-0000-0000230B0000}"/>
    <cellStyle name="Millares 35 3 4" xfId="1355" xr:uid="{00000000-0005-0000-0000-0000240B0000}"/>
    <cellStyle name="Millares 35 3 5" xfId="2937" xr:uid="{00000000-0005-0000-0000-0000250B0000}"/>
    <cellStyle name="Millares 35 4" xfId="625" xr:uid="{00000000-0005-0000-0000-0000260B0000}"/>
    <cellStyle name="Millares 35 4 2" xfId="1025" xr:uid="{00000000-0005-0000-0000-0000270B0000}"/>
    <cellStyle name="Millares 35 4 2 2" xfId="2608" xr:uid="{00000000-0005-0000-0000-0000280B0000}"/>
    <cellStyle name="Millares 35 4 2 2 2" xfId="4190" xr:uid="{00000000-0005-0000-0000-0000290B0000}"/>
    <cellStyle name="Millares 35 4 2 3" xfId="1817" xr:uid="{00000000-0005-0000-0000-00002A0B0000}"/>
    <cellStyle name="Millares 35 4 2 4" xfId="3399" xr:uid="{00000000-0005-0000-0000-00002B0B0000}"/>
    <cellStyle name="Millares 35 4 3" xfId="2214" xr:uid="{00000000-0005-0000-0000-00002C0B0000}"/>
    <cellStyle name="Millares 35 4 3 2" xfId="3796" xr:uid="{00000000-0005-0000-0000-00002D0B0000}"/>
    <cellStyle name="Millares 35 4 4" xfId="1423" xr:uid="{00000000-0005-0000-0000-00002E0B0000}"/>
    <cellStyle name="Millares 35 4 5" xfId="3005" xr:uid="{00000000-0005-0000-0000-00002F0B0000}"/>
    <cellStyle name="Millares 35 5" xfId="804" xr:uid="{00000000-0005-0000-0000-0000300B0000}"/>
    <cellStyle name="Millares 35 5 2" xfId="2387" xr:uid="{00000000-0005-0000-0000-0000310B0000}"/>
    <cellStyle name="Millares 35 5 2 2" xfId="3969" xr:uid="{00000000-0005-0000-0000-0000320B0000}"/>
    <cellStyle name="Millares 35 5 3" xfId="1596" xr:uid="{00000000-0005-0000-0000-0000330B0000}"/>
    <cellStyle name="Millares 35 5 4" xfId="3178" xr:uid="{00000000-0005-0000-0000-0000340B0000}"/>
    <cellStyle name="Millares 35 6" xfId="1993" xr:uid="{00000000-0005-0000-0000-0000350B0000}"/>
    <cellStyle name="Millares 35 6 2" xfId="3575" xr:uid="{00000000-0005-0000-0000-0000360B0000}"/>
    <cellStyle name="Millares 35 7" xfId="1202" xr:uid="{00000000-0005-0000-0000-0000370B0000}"/>
    <cellStyle name="Millares 35 8" xfId="2784" xr:uid="{00000000-0005-0000-0000-0000380B0000}"/>
    <cellStyle name="Millares 36" xfId="348" xr:uid="{00000000-0005-0000-0000-0000390B0000}"/>
    <cellStyle name="Millares 36 2" xfId="469" xr:uid="{00000000-0005-0000-0000-00003A0B0000}"/>
    <cellStyle name="Millares 36 2 2" xfId="697" xr:uid="{00000000-0005-0000-0000-00003B0B0000}"/>
    <cellStyle name="Millares 36 2 2 2" xfId="1097" xr:uid="{00000000-0005-0000-0000-00003C0B0000}"/>
    <cellStyle name="Millares 36 2 2 2 2" xfId="2680" xr:uid="{00000000-0005-0000-0000-00003D0B0000}"/>
    <cellStyle name="Millares 36 2 2 2 2 2" xfId="4262" xr:uid="{00000000-0005-0000-0000-00003E0B0000}"/>
    <cellStyle name="Millares 36 2 2 2 3" xfId="1889" xr:uid="{00000000-0005-0000-0000-00003F0B0000}"/>
    <cellStyle name="Millares 36 2 2 2 4" xfId="3471" xr:uid="{00000000-0005-0000-0000-0000400B0000}"/>
    <cellStyle name="Millares 36 2 2 3" xfId="2286" xr:uid="{00000000-0005-0000-0000-0000410B0000}"/>
    <cellStyle name="Millares 36 2 2 3 2" xfId="3868" xr:uid="{00000000-0005-0000-0000-0000420B0000}"/>
    <cellStyle name="Millares 36 2 2 4" xfId="1495" xr:uid="{00000000-0005-0000-0000-0000430B0000}"/>
    <cellStyle name="Millares 36 2 2 5" xfId="3077" xr:uid="{00000000-0005-0000-0000-0000440B0000}"/>
    <cellStyle name="Millares 36 2 3" xfId="876" xr:uid="{00000000-0005-0000-0000-0000450B0000}"/>
    <cellStyle name="Millares 36 2 3 2" xfId="2459" xr:uid="{00000000-0005-0000-0000-0000460B0000}"/>
    <cellStyle name="Millares 36 2 3 2 2" xfId="4041" xr:uid="{00000000-0005-0000-0000-0000470B0000}"/>
    <cellStyle name="Millares 36 2 3 3" xfId="1668" xr:uid="{00000000-0005-0000-0000-0000480B0000}"/>
    <cellStyle name="Millares 36 2 3 4" xfId="3250" xr:uid="{00000000-0005-0000-0000-0000490B0000}"/>
    <cellStyle name="Millares 36 2 4" xfId="2065" xr:uid="{00000000-0005-0000-0000-00004A0B0000}"/>
    <cellStyle name="Millares 36 2 4 2" xfId="3647" xr:uid="{00000000-0005-0000-0000-00004B0B0000}"/>
    <cellStyle name="Millares 36 2 5" xfId="1274" xr:uid="{00000000-0005-0000-0000-00004C0B0000}"/>
    <cellStyle name="Millares 36 2 6" xfId="2856" xr:uid="{00000000-0005-0000-0000-00004D0B0000}"/>
    <cellStyle name="Millares 36 3" xfId="546" xr:uid="{00000000-0005-0000-0000-00004E0B0000}"/>
    <cellStyle name="Millares 36 3 2" xfId="953" xr:uid="{00000000-0005-0000-0000-00004F0B0000}"/>
    <cellStyle name="Millares 36 3 2 2" xfId="2536" xr:uid="{00000000-0005-0000-0000-0000500B0000}"/>
    <cellStyle name="Millares 36 3 2 2 2" xfId="4118" xr:uid="{00000000-0005-0000-0000-0000510B0000}"/>
    <cellStyle name="Millares 36 3 2 3" xfId="1745" xr:uid="{00000000-0005-0000-0000-0000520B0000}"/>
    <cellStyle name="Millares 36 3 2 4" xfId="3327" xr:uid="{00000000-0005-0000-0000-0000530B0000}"/>
    <cellStyle name="Millares 36 3 3" xfId="2142" xr:uid="{00000000-0005-0000-0000-0000540B0000}"/>
    <cellStyle name="Millares 36 3 3 2" xfId="3724" xr:uid="{00000000-0005-0000-0000-0000550B0000}"/>
    <cellStyle name="Millares 36 3 4" xfId="1351" xr:uid="{00000000-0005-0000-0000-0000560B0000}"/>
    <cellStyle name="Millares 36 3 5" xfId="2933" xr:uid="{00000000-0005-0000-0000-0000570B0000}"/>
    <cellStyle name="Millares 36 4" xfId="621" xr:uid="{00000000-0005-0000-0000-0000580B0000}"/>
    <cellStyle name="Millares 36 4 2" xfId="1021" xr:uid="{00000000-0005-0000-0000-0000590B0000}"/>
    <cellStyle name="Millares 36 4 2 2" xfId="2604" xr:uid="{00000000-0005-0000-0000-00005A0B0000}"/>
    <cellStyle name="Millares 36 4 2 2 2" xfId="4186" xr:uid="{00000000-0005-0000-0000-00005B0B0000}"/>
    <cellStyle name="Millares 36 4 2 3" xfId="1813" xr:uid="{00000000-0005-0000-0000-00005C0B0000}"/>
    <cellStyle name="Millares 36 4 2 4" xfId="3395" xr:uid="{00000000-0005-0000-0000-00005D0B0000}"/>
    <cellStyle name="Millares 36 4 3" xfId="2210" xr:uid="{00000000-0005-0000-0000-00005E0B0000}"/>
    <cellStyle name="Millares 36 4 3 2" xfId="3792" xr:uid="{00000000-0005-0000-0000-00005F0B0000}"/>
    <cellStyle name="Millares 36 4 4" xfId="1419" xr:uid="{00000000-0005-0000-0000-0000600B0000}"/>
    <cellStyle name="Millares 36 4 5" xfId="3001" xr:uid="{00000000-0005-0000-0000-0000610B0000}"/>
    <cellStyle name="Millares 36 5" xfId="800" xr:uid="{00000000-0005-0000-0000-0000620B0000}"/>
    <cellStyle name="Millares 36 5 2" xfId="2383" xr:uid="{00000000-0005-0000-0000-0000630B0000}"/>
    <cellStyle name="Millares 36 5 2 2" xfId="3965" xr:uid="{00000000-0005-0000-0000-0000640B0000}"/>
    <cellStyle name="Millares 36 5 3" xfId="1592" xr:uid="{00000000-0005-0000-0000-0000650B0000}"/>
    <cellStyle name="Millares 36 5 4" xfId="3174" xr:uid="{00000000-0005-0000-0000-0000660B0000}"/>
    <cellStyle name="Millares 36 6" xfId="1989" xr:uid="{00000000-0005-0000-0000-0000670B0000}"/>
    <cellStyle name="Millares 36 6 2" xfId="3571" xr:uid="{00000000-0005-0000-0000-0000680B0000}"/>
    <cellStyle name="Millares 36 7" xfId="1198" xr:uid="{00000000-0005-0000-0000-0000690B0000}"/>
    <cellStyle name="Millares 36 8" xfId="2780" xr:uid="{00000000-0005-0000-0000-00006A0B0000}"/>
    <cellStyle name="Millares 37" xfId="367" xr:uid="{00000000-0005-0000-0000-00006B0B0000}"/>
    <cellStyle name="Millares 37 2" xfId="485" xr:uid="{00000000-0005-0000-0000-00006C0B0000}"/>
    <cellStyle name="Millares 37 2 2" xfId="713" xr:uid="{00000000-0005-0000-0000-00006D0B0000}"/>
    <cellStyle name="Millares 37 2 2 2" xfId="1113" xr:uid="{00000000-0005-0000-0000-00006E0B0000}"/>
    <cellStyle name="Millares 37 2 2 2 2" xfId="2696" xr:uid="{00000000-0005-0000-0000-00006F0B0000}"/>
    <cellStyle name="Millares 37 2 2 2 2 2" xfId="4278" xr:uid="{00000000-0005-0000-0000-0000700B0000}"/>
    <cellStyle name="Millares 37 2 2 2 3" xfId="1905" xr:uid="{00000000-0005-0000-0000-0000710B0000}"/>
    <cellStyle name="Millares 37 2 2 2 4" xfId="3487" xr:uid="{00000000-0005-0000-0000-0000720B0000}"/>
    <cellStyle name="Millares 37 2 2 3" xfId="2302" xr:uid="{00000000-0005-0000-0000-0000730B0000}"/>
    <cellStyle name="Millares 37 2 2 3 2" xfId="3884" xr:uid="{00000000-0005-0000-0000-0000740B0000}"/>
    <cellStyle name="Millares 37 2 2 4" xfId="1511" xr:uid="{00000000-0005-0000-0000-0000750B0000}"/>
    <cellStyle name="Millares 37 2 2 5" xfId="3093" xr:uid="{00000000-0005-0000-0000-0000760B0000}"/>
    <cellStyle name="Millares 37 2 3" xfId="892" xr:uid="{00000000-0005-0000-0000-0000770B0000}"/>
    <cellStyle name="Millares 37 2 3 2" xfId="2475" xr:uid="{00000000-0005-0000-0000-0000780B0000}"/>
    <cellStyle name="Millares 37 2 3 2 2" xfId="4057" xr:uid="{00000000-0005-0000-0000-0000790B0000}"/>
    <cellStyle name="Millares 37 2 3 3" xfId="1684" xr:uid="{00000000-0005-0000-0000-00007A0B0000}"/>
    <cellStyle name="Millares 37 2 3 4" xfId="3266" xr:uid="{00000000-0005-0000-0000-00007B0B0000}"/>
    <cellStyle name="Millares 37 2 4" xfId="2081" xr:uid="{00000000-0005-0000-0000-00007C0B0000}"/>
    <cellStyle name="Millares 37 2 4 2" xfId="3663" xr:uid="{00000000-0005-0000-0000-00007D0B0000}"/>
    <cellStyle name="Millares 37 2 5" xfId="1290" xr:uid="{00000000-0005-0000-0000-00007E0B0000}"/>
    <cellStyle name="Millares 37 2 6" xfId="2872" xr:uid="{00000000-0005-0000-0000-00007F0B0000}"/>
    <cellStyle name="Millares 37 3" xfId="562" xr:uid="{00000000-0005-0000-0000-0000800B0000}"/>
    <cellStyle name="Millares 37 3 2" xfId="969" xr:uid="{00000000-0005-0000-0000-0000810B0000}"/>
    <cellStyle name="Millares 37 3 2 2" xfId="2552" xr:uid="{00000000-0005-0000-0000-0000820B0000}"/>
    <cellStyle name="Millares 37 3 2 2 2" xfId="4134" xr:uid="{00000000-0005-0000-0000-0000830B0000}"/>
    <cellStyle name="Millares 37 3 2 3" xfId="1761" xr:uid="{00000000-0005-0000-0000-0000840B0000}"/>
    <cellStyle name="Millares 37 3 2 4" xfId="3343" xr:uid="{00000000-0005-0000-0000-0000850B0000}"/>
    <cellStyle name="Millares 37 3 3" xfId="2158" xr:uid="{00000000-0005-0000-0000-0000860B0000}"/>
    <cellStyle name="Millares 37 3 3 2" xfId="3740" xr:uid="{00000000-0005-0000-0000-0000870B0000}"/>
    <cellStyle name="Millares 37 3 4" xfId="1367" xr:uid="{00000000-0005-0000-0000-0000880B0000}"/>
    <cellStyle name="Millares 37 3 5" xfId="2949" xr:uid="{00000000-0005-0000-0000-0000890B0000}"/>
    <cellStyle name="Millares 37 4" xfId="637" xr:uid="{00000000-0005-0000-0000-00008A0B0000}"/>
    <cellStyle name="Millares 37 4 2" xfId="1037" xr:uid="{00000000-0005-0000-0000-00008B0B0000}"/>
    <cellStyle name="Millares 37 4 2 2" xfId="2620" xr:uid="{00000000-0005-0000-0000-00008C0B0000}"/>
    <cellStyle name="Millares 37 4 2 2 2" xfId="4202" xr:uid="{00000000-0005-0000-0000-00008D0B0000}"/>
    <cellStyle name="Millares 37 4 2 3" xfId="1829" xr:uid="{00000000-0005-0000-0000-00008E0B0000}"/>
    <cellStyle name="Millares 37 4 2 4" xfId="3411" xr:uid="{00000000-0005-0000-0000-00008F0B0000}"/>
    <cellStyle name="Millares 37 4 3" xfId="2226" xr:uid="{00000000-0005-0000-0000-0000900B0000}"/>
    <cellStyle name="Millares 37 4 3 2" xfId="3808" xr:uid="{00000000-0005-0000-0000-0000910B0000}"/>
    <cellStyle name="Millares 37 4 4" xfId="1435" xr:uid="{00000000-0005-0000-0000-0000920B0000}"/>
    <cellStyle name="Millares 37 4 5" xfId="3017" xr:uid="{00000000-0005-0000-0000-0000930B0000}"/>
    <cellStyle name="Millares 37 5" xfId="816" xr:uid="{00000000-0005-0000-0000-0000940B0000}"/>
    <cellStyle name="Millares 37 5 2" xfId="2399" xr:uid="{00000000-0005-0000-0000-0000950B0000}"/>
    <cellStyle name="Millares 37 5 2 2" xfId="3981" xr:uid="{00000000-0005-0000-0000-0000960B0000}"/>
    <cellStyle name="Millares 37 5 3" xfId="1608" xr:uid="{00000000-0005-0000-0000-0000970B0000}"/>
    <cellStyle name="Millares 37 5 4" xfId="3190" xr:uid="{00000000-0005-0000-0000-0000980B0000}"/>
    <cellStyle name="Millares 37 6" xfId="2005" xr:uid="{00000000-0005-0000-0000-0000990B0000}"/>
    <cellStyle name="Millares 37 6 2" xfId="3587" xr:uid="{00000000-0005-0000-0000-00009A0B0000}"/>
    <cellStyle name="Millares 37 7" xfId="1214" xr:uid="{00000000-0005-0000-0000-00009B0B0000}"/>
    <cellStyle name="Millares 37 8" xfId="2796" xr:uid="{00000000-0005-0000-0000-00009C0B0000}"/>
    <cellStyle name="Millares 38" xfId="349" xr:uid="{00000000-0005-0000-0000-00009D0B0000}"/>
    <cellStyle name="Millares 38 2" xfId="470" xr:uid="{00000000-0005-0000-0000-00009E0B0000}"/>
    <cellStyle name="Millares 38 2 2" xfId="698" xr:uid="{00000000-0005-0000-0000-00009F0B0000}"/>
    <cellStyle name="Millares 38 2 2 2" xfId="1098" xr:uid="{00000000-0005-0000-0000-0000A00B0000}"/>
    <cellStyle name="Millares 38 2 2 2 2" xfId="2681" xr:uid="{00000000-0005-0000-0000-0000A10B0000}"/>
    <cellStyle name="Millares 38 2 2 2 2 2" xfId="4263" xr:uid="{00000000-0005-0000-0000-0000A20B0000}"/>
    <cellStyle name="Millares 38 2 2 2 3" xfId="1890" xr:uid="{00000000-0005-0000-0000-0000A30B0000}"/>
    <cellStyle name="Millares 38 2 2 2 4" xfId="3472" xr:uid="{00000000-0005-0000-0000-0000A40B0000}"/>
    <cellStyle name="Millares 38 2 2 3" xfId="2287" xr:uid="{00000000-0005-0000-0000-0000A50B0000}"/>
    <cellStyle name="Millares 38 2 2 3 2" xfId="3869" xr:uid="{00000000-0005-0000-0000-0000A60B0000}"/>
    <cellStyle name="Millares 38 2 2 4" xfId="1496" xr:uid="{00000000-0005-0000-0000-0000A70B0000}"/>
    <cellStyle name="Millares 38 2 2 5" xfId="3078" xr:uid="{00000000-0005-0000-0000-0000A80B0000}"/>
    <cellStyle name="Millares 38 2 3" xfId="877" xr:uid="{00000000-0005-0000-0000-0000A90B0000}"/>
    <cellStyle name="Millares 38 2 3 2" xfId="2460" xr:uid="{00000000-0005-0000-0000-0000AA0B0000}"/>
    <cellStyle name="Millares 38 2 3 2 2" xfId="4042" xr:uid="{00000000-0005-0000-0000-0000AB0B0000}"/>
    <cellStyle name="Millares 38 2 3 3" xfId="1669" xr:uid="{00000000-0005-0000-0000-0000AC0B0000}"/>
    <cellStyle name="Millares 38 2 3 4" xfId="3251" xr:uid="{00000000-0005-0000-0000-0000AD0B0000}"/>
    <cellStyle name="Millares 38 2 4" xfId="2066" xr:uid="{00000000-0005-0000-0000-0000AE0B0000}"/>
    <cellStyle name="Millares 38 2 4 2" xfId="3648" xr:uid="{00000000-0005-0000-0000-0000AF0B0000}"/>
    <cellStyle name="Millares 38 2 5" xfId="1275" xr:uid="{00000000-0005-0000-0000-0000B00B0000}"/>
    <cellStyle name="Millares 38 2 6" xfId="2857" xr:uid="{00000000-0005-0000-0000-0000B10B0000}"/>
    <cellStyle name="Millares 38 3" xfId="547" xr:uid="{00000000-0005-0000-0000-0000B20B0000}"/>
    <cellStyle name="Millares 38 3 2" xfId="954" xr:uid="{00000000-0005-0000-0000-0000B30B0000}"/>
    <cellStyle name="Millares 38 3 2 2" xfId="2537" xr:uid="{00000000-0005-0000-0000-0000B40B0000}"/>
    <cellStyle name="Millares 38 3 2 2 2" xfId="4119" xr:uid="{00000000-0005-0000-0000-0000B50B0000}"/>
    <cellStyle name="Millares 38 3 2 3" xfId="1746" xr:uid="{00000000-0005-0000-0000-0000B60B0000}"/>
    <cellStyle name="Millares 38 3 2 4" xfId="3328" xr:uid="{00000000-0005-0000-0000-0000B70B0000}"/>
    <cellStyle name="Millares 38 3 3" xfId="2143" xr:uid="{00000000-0005-0000-0000-0000B80B0000}"/>
    <cellStyle name="Millares 38 3 3 2" xfId="3725" xr:uid="{00000000-0005-0000-0000-0000B90B0000}"/>
    <cellStyle name="Millares 38 3 4" xfId="1352" xr:uid="{00000000-0005-0000-0000-0000BA0B0000}"/>
    <cellStyle name="Millares 38 3 5" xfId="2934" xr:uid="{00000000-0005-0000-0000-0000BB0B0000}"/>
    <cellStyle name="Millares 38 4" xfId="622" xr:uid="{00000000-0005-0000-0000-0000BC0B0000}"/>
    <cellStyle name="Millares 38 4 2" xfId="1022" xr:uid="{00000000-0005-0000-0000-0000BD0B0000}"/>
    <cellStyle name="Millares 38 4 2 2" xfId="2605" xr:uid="{00000000-0005-0000-0000-0000BE0B0000}"/>
    <cellStyle name="Millares 38 4 2 2 2" xfId="4187" xr:uid="{00000000-0005-0000-0000-0000BF0B0000}"/>
    <cellStyle name="Millares 38 4 2 3" xfId="1814" xr:uid="{00000000-0005-0000-0000-0000C00B0000}"/>
    <cellStyle name="Millares 38 4 2 4" xfId="3396" xr:uid="{00000000-0005-0000-0000-0000C10B0000}"/>
    <cellStyle name="Millares 38 4 3" xfId="2211" xr:uid="{00000000-0005-0000-0000-0000C20B0000}"/>
    <cellStyle name="Millares 38 4 3 2" xfId="3793" xr:uid="{00000000-0005-0000-0000-0000C30B0000}"/>
    <cellStyle name="Millares 38 4 4" xfId="1420" xr:uid="{00000000-0005-0000-0000-0000C40B0000}"/>
    <cellStyle name="Millares 38 4 5" xfId="3002" xr:uid="{00000000-0005-0000-0000-0000C50B0000}"/>
    <cellStyle name="Millares 38 5" xfId="801" xr:uid="{00000000-0005-0000-0000-0000C60B0000}"/>
    <cellStyle name="Millares 38 5 2" xfId="2384" xr:uid="{00000000-0005-0000-0000-0000C70B0000}"/>
    <cellStyle name="Millares 38 5 2 2" xfId="3966" xr:uid="{00000000-0005-0000-0000-0000C80B0000}"/>
    <cellStyle name="Millares 38 5 3" xfId="1593" xr:uid="{00000000-0005-0000-0000-0000C90B0000}"/>
    <cellStyle name="Millares 38 5 4" xfId="3175" xr:uid="{00000000-0005-0000-0000-0000CA0B0000}"/>
    <cellStyle name="Millares 38 6" xfId="1990" xr:uid="{00000000-0005-0000-0000-0000CB0B0000}"/>
    <cellStyle name="Millares 38 6 2" xfId="3572" xr:uid="{00000000-0005-0000-0000-0000CC0B0000}"/>
    <cellStyle name="Millares 38 7" xfId="1199" xr:uid="{00000000-0005-0000-0000-0000CD0B0000}"/>
    <cellStyle name="Millares 38 8" xfId="2781" xr:uid="{00000000-0005-0000-0000-0000CE0B0000}"/>
    <cellStyle name="Millares 39" xfId="437" xr:uid="{00000000-0005-0000-0000-0000CF0B0000}"/>
    <cellStyle name="Millares 39 2" xfId="513" xr:uid="{00000000-0005-0000-0000-0000D00B0000}"/>
    <cellStyle name="Millares 39 2 2" xfId="741" xr:uid="{00000000-0005-0000-0000-0000D10B0000}"/>
    <cellStyle name="Millares 39 2 2 2" xfId="1141" xr:uid="{00000000-0005-0000-0000-0000D20B0000}"/>
    <cellStyle name="Millares 39 2 2 2 2" xfId="2724" xr:uid="{00000000-0005-0000-0000-0000D30B0000}"/>
    <cellStyle name="Millares 39 2 2 2 2 2" xfId="4306" xr:uid="{00000000-0005-0000-0000-0000D40B0000}"/>
    <cellStyle name="Millares 39 2 2 2 3" xfId="1933" xr:uid="{00000000-0005-0000-0000-0000D50B0000}"/>
    <cellStyle name="Millares 39 2 2 2 4" xfId="3515" xr:uid="{00000000-0005-0000-0000-0000D60B0000}"/>
    <cellStyle name="Millares 39 2 2 3" xfId="2330" xr:uid="{00000000-0005-0000-0000-0000D70B0000}"/>
    <cellStyle name="Millares 39 2 2 3 2" xfId="3912" xr:uid="{00000000-0005-0000-0000-0000D80B0000}"/>
    <cellStyle name="Millares 39 2 2 4" xfId="1539" xr:uid="{00000000-0005-0000-0000-0000D90B0000}"/>
    <cellStyle name="Millares 39 2 2 5" xfId="3121" xr:uid="{00000000-0005-0000-0000-0000DA0B0000}"/>
    <cellStyle name="Millares 39 2 3" xfId="920" xr:uid="{00000000-0005-0000-0000-0000DB0B0000}"/>
    <cellStyle name="Millares 39 2 3 2" xfId="2503" xr:uid="{00000000-0005-0000-0000-0000DC0B0000}"/>
    <cellStyle name="Millares 39 2 3 2 2" xfId="4085" xr:uid="{00000000-0005-0000-0000-0000DD0B0000}"/>
    <cellStyle name="Millares 39 2 3 3" xfId="1712" xr:uid="{00000000-0005-0000-0000-0000DE0B0000}"/>
    <cellStyle name="Millares 39 2 3 4" xfId="3294" xr:uid="{00000000-0005-0000-0000-0000DF0B0000}"/>
    <cellStyle name="Millares 39 2 4" xfId="2109" xr:uid="{00000000-0005-0000-0000-0000E00B0000}"/>
    <cellStyle name="Millares 39 2 4 2" xfId="3691" xr:uid="{00000000-0005-0000-0000-0000E10B0000}"/>
    <cellStyle name="Millares 39 2 5" xfId="1318" xr:uid="{00000000-0005-0000-0000-0000E20B0000}"/>
    <cellStyle name="Millares 39 2 6" xfId="2900" xr:uid="{00000000-0005-0000-0000-0000E30B0000}"/>
    <cellStyle name="Millares 39 3" xfId="665" xr:uid="{00000000-0005-0000-0000-0000E40B0000}"/>
    <cellStyle name="Millares 39 3 2" xfId="1065" xr:uid="{00000000-0005-0000-0000-0000E50B0000}"/>
    <cellStyle name="Millares 39 3 2 2" xfId="2648" xr:uid="{00000000-0005-0000-0000-0000E60B0000}"/>
    <cellStyle name="Millares 39 3 2 2 2" xfId="4230" xr:uid="{00000000-0005-0000-0000-0000E70B0000}"/>
    <cellStyle name="Millares 39 3 2 3" xfId="1857" xr:uid="{00000000-0005-0000-0000-0000E80B0000}"/>
    <cellStyle name="Millares 39 3 2 4" xfId="3439" xr:uid="{00000000-0005-0000-0000-0000E90B0000}"/>
    <cellStyle name="Millares 39 3 3" xfId="2254" xr:uid="{00000000-0005-0000-0000-0000EA0B0000}"/>
    <cellStyle name="Millares 39 3 3 2" xfId="3836" xr:uid="{00000000-0005-0000-0000-0000EB0B0000}"/>
    <cellStyle name="Millares 39 3 4" xfId="1463" xr:uid="{00000000-0005-0000-0000-0000EC0B0000}"/>
    <cellStyle name="Millares 39 3 5" xfId="3045" xr:uid="{00000000-0005-0000-0000-0000ED0B0000}"/>
    <cellStyle name="Millares 39 4" xfId="844" xr:uid="{00000000-0005-0000-0000-0000EE0B0000}"/>
    <cellStyle name="Millares 39 4 2" xfId="2427" xr:uid="{00000000-0005-0000-0000-0000EF0B0000}"/>
    <cellStyle name="Millares 39 4 2 2" xfId="4009" xr:uid="{00000000-0005-0000-0000-0000F00B0000}"/>
    <cellStyle name="Millares 39 4 3" xfId="1636" xr:uid="{00000000-0005-0000-0000-0000F10B0000}"/>
    <cellStyle name="Millares 39 4 4" xfId="3218" xr:uid="{00000000-0005-0000-0000-0000F20B0000}"/>
    <cellStyle name="Millares 39 5" xfId="2033" xr:uid="{00000000-0005-0000-0000-0000F30B0000}"/>
    <cellStyle name="Millares 39 5 2" xfId="3615" xr:uid="{00000000-0005-0000-0000-0000F40B0000}"/>
    <cellStyle name="Millares 39 6" xfId="1242" xr:uid="{00000000-0005-0000-0000-0000F50B0000}"/>
    <cellStyle name="Millares 39 7" xfId="2824" xr:uid="{00000000-0005-0000-0000-0000F60B0000}"/>
    <cellStyle name="Millares 4" xfId="5" xr:uid="{00000000-0005-0000-0000-0000F70B0000}"/>
    <cellStyle name="Millares 4 10" xfId="1177" xr:uid="{00000000-0005-0000-0000-0000F80B0000}"/>
    <cellStyle name="Millares 4 11" xfId="2759" xr:uid="{00000000-0005-0000-0000-0000F90B0000}"/>
    <cellStyle name="Millares 4 12" xfId="4626" xr:uid="{51E9F08A-C9B4-42B2-A870-D79A9D37FC62}"/>
    <cellStyle name="Millares 4 12 2" xfId="5002" xr:uid="{5E0862B8-3271-4D71-A508-75219C0B5FE5}"/>
    <cellStyle name="Millares 4 13" xfId="4889" xr:uid="{4D8B2EEA-ABA3-4C25-BD22-6175853FB6CB}"/>
    <cellStyle name="Millares 4 13 2" xfId="5174" xr:uid="{3C4004C1-119C-4781-B223-10769885BF4B}"/>
    <cellStyle name="Millares 4 14" xfId="4389" xr:uid="{031378F8-6A6A-4622-B923-C93842CB5A27}"/>
    <cellStyle name="Millares 4 15" xfId="4904" xr:uid="{DBD7ADC9-7F83-4EF6-BA75-389CB9E9DD9A}"/>
    <cellStyle name="Millares 4 2" xfId="312" xr:uid="{00000000-0005-0000-0000-0000FA0B0000}"/>
    <cellStyle name="Millares 4 2 10" xfId="2772" xr:uid="{00000000-0005-0000-0000-0000FB0B0000}"/>
    <cellStyle name="Millares 4 2 11" xfId="4630" xr:uid="{7C6FE405-80A8-4077-9CF8-CF8A60C8A5E8}"/>
    <cellStyle name="Millares 4 2 11 2" xfId="5006" xr:uid="{403B3001-144D-4C0D-BEAA-5BDFC75B407A}"/>
    <cellStyle name="Millares 4 2 12" xfId="4393" xr:uid="{646EE614-AAF5-4228-B74F-D86864EA6A44}"/>
    <cellStyle name="Millares 4 2 2" xfId="390" xr:uid="{00000000-0005-0000-0000-0000FC0B0000}"/>
    <cellStyle name="Millares 4 2 2 10" xfId="4419" xr:uid="{ED6CC0CB-8064-4CE1-8B93-60035813D076}"/>
    <cellStyle name="Millares 4 2 2 2" xfId="502" xr:uid="{00000000-0005-0000-0000-0000FD0B0000}"/>
    <cellStyle name="Millares 4 2 2 2 2" xfId="730" xr:uid="{00000000-0005-0000-0000-0000FE0B0000}"/>
    <cellStyle name="Millares 4 2 2 2 2 2" xfId="1130" xr:uid="{00000000-0005-0000-0000-0000FF0B0000}"/>
    <cellStyle name="Millares 4 2 2 2 2 2 2" xfId="2713" xr:uid="{00000000-0005-0000-0000-0000000C0000}"/>
    <cellStyle name="Millares 4 2 2 2 2 2 2 2" xfId="4295" xr:uid="{00000000-0005-0000-0000-0000010C0000}"/>
    <cellStyle name="Millares 4 2 2 2 2 2 3" xfId="1922" xr:uid="{00000000-0005-0000-0000-0000020C0000}"/>
    <cellStyle name="Millares 4 2 2 2 2 2 4" xfId="3504" xr:uid="{00000000-0005-0000-0000-0000030C0000}"/>
    <cellStyle name="Millares 4 2 2 2 2 3" xfId="2319" xr:uid="{00000000-0005-0000-0000-0000040C0000}"/>
    <cellStyle name="Millares 4 2 2 2 2 3 2" xfId="3901" xr:uid="{00000000-0005-0000-0000-0000050C0000}"/>
    <cellStyle name="Millares 4 2 2 2 2 4" xfId="1528" xr:uid="{00000000-0005-0000-0000-0000060C0000}"/>
    <cellStyle name="Millares 4 2 2 2 2 5" xfId="3110" xr:uid="{00000000-0005-0000-0000-0000070C0000}"/>
    <cellStyle name="Millares 4 2 2 2 3" xfId="909" xr:uid="{00000000-0005-0000-0000-0000080C0000}"/>
    <cellStyle name="Millares 4 2 2 2 3 2" xfId="2492" xr:uid="{00000000-0005-0000-0000-0000090C0000}"/>
    <cellStyle name="Millares 4 2 2 2 3 2 2" xfId="4074" xr:uid="{00000000-0005-0000-0000-00000A0C0000}"/>
    <cellStyle name="Millares 4 2 2 2 3 3" xfId="1701" xr:uid="{00000000-0005-0000-0000-00000B0C0000}"/>
    <cellStyle name="Millares 4 2 2 2 3 4" xfId="3283" xr:uid="{00000000-0005-0000-0000-00000C0C0000}"/>
    <cellStyle name="Millares 4 2 2 2 4" xfId="2098" xr:uid="{00000000-0005-0000-0000-00000D0C0000}"/>
    <cellStyle name="Millares 4 2 2 2 4 2" xfId="3680" xr:uid="{00000000-0005-0000-0000-00000E0C0000}"/>
    <cellStyle name="Millares 4 2 2 2 5" xfId="1307" xr:uid="{00000000-0005-0000-0000-00000F0C0000}"/>
    <cellStyle name="Millares 4 2 2 2 6" xfId="2889" xr:uid="{00000000-0005-0000-0000-0000100C0000}"/>
    <cellStyle name="Millares 4 2 2 3" xfId="579" xr:uid="{00000000-0005-0000-0000-0000110C0000}"/>
    <cellStyle name="Millares 4 2 2 3 2" xfId="986" xr:uid="{00000000-0005-0000-0000-0000120C0000}"/>
    <cellStyle name="Millares 4 2 2 3 2 2" xfId="2569" xr:uid="{00000000-0005-0000-0000-0000130C0000}"/>
    <cellStyle name="Millares 4 2 2 3 2 2 2" xfId="4151" xr:uid="{00000000-0005-0000-0000-0000140C0000}"/>
    <cellStyle name="Millares 4 2 2 3 2 3" xfId="1778" xr:uid="{00000000-0005-0000-0000-0000150C0000}"/>
    <cellStyle name="Millares 4 2 2 3 2 4" xfId="3360" xr:uid="{00000000-0005-0000-0000-0000160C0000}"/>
    <cellStyle name="Millares 4 2 2 3 3" xfId="2175" xr:uid="{00000000-0005-0000-0000-0000170C0000}"/>
    <cellStyle name="Millares 4 2 2 3 3 2" xfId="3757" xr:uid="{00000000-0005-0000-0000-0000180C0000}"/>
    <cellStyle name="Millares 4 2 2 3 4" xfId="1384" xr:uid="{00000000-0005-0000-0000-0000190C0000}"/>
    <cellStyle name="Millares 4 2 2 3 5" xfId="2966" xr:uid="{00000000-0005-0000-0000-00001A0C0000}"/>
    <cellStyle name="Millares 4 2 2 4" xfId="654" xr:uid="{00000000-0005-0000-0000-00001B0C0000}"/>
    <cellStyle name="Millares 4 2 2 4 2" xfId="1054" xr:uid="{00000000-0005-0000-0000-00001C0C0000}"/>
    <cellStyle name="Millares 4 2 2 4 2 2" xfId="2637" xr:uid="{00000000-0005-0000-0000-00001D0C0000}"/>
    <cellStyle name="Millares 4 2 2 4 2 2 2" xfId="4219" xr:uid="{00000000-0005-0000-0000-00001E0C0000}"/>
    <cellStyle name="Millares 4 2 2 4 2 3" xfId="1846" xr:uid="{00000000-0005-0000-0000-00001F0C0000}"/>
    <cellStyle name="Millares 4 2 2 4 2 4" xfId="3428" xr:uid="{00000000-0005-0000-0000-0000200C0000}"/>
    <cellStyle name="Millares 4 2 2 4 3" xfId="2243" xr:uid="{00000000-0005-0000-0000-0000210C0000}"/>
    <cellStyle name="Millares 4 2 2 4 3 2" xfId="3825" xr:uid="{00000000-0005-0000-0000-0000220C0000}"/>
    <cellStyle name="Millares 4 2 2 4 4" xfId="1452" xr:uid="{00000000-0005-0000-0000-0000230C0000}"/>
    <cellStyle name="Millares 4 2 2 4 5" xfId="3034" xr:uid="{00000000-0005-0000-0000-0000240C0000}"/>
    <cellStyle name="Millares 4 2 2 5" xfId="833" xr:uid="{00000000-0005-0000-0000-0000250C0000}"/>
    <cellStyle name="Millares 4 2 2 5 2" xfId="2416" xr:uid="{00000000-0005-0000-0000-0000260C0000}"/>
    <cellStyle name="Millares 4 2 2 5 2 2" xfId="3998" xr:uid="{00000000-0005-0000-0000-0000270C0000}"/>
    <cellStyle name="Millares 4 2 2 5 3" xfId="1625" xr:uid="{00000000-0005-0000-0000-0000280C0000}"/>
    <cellStyle name="Millares 4 2 2 5 4" xfId="3207" xr:uid="{00000000-0005-0000-0000-0000290C0000}"/>
    <cellStyle name="Millares 4 2 2 6" xfId="2022" xr:uid="{00000000-0005-0000-0000-00002A0C0000}"/>
    <cellStyle name="Millares 4 2 2 6 2" xfId="3604" xr:uid="{00000000-0005-0000-0000-00002B0C0000}"/>
    <cellStyle name="Millares 4 2 2 7" xfId="1231" xr:uid="{00000000-0005-0000-0000-00002C0C0000}"/>
    <cellStyle name="Millares 4 2 2 8" xfId="2813" xr:uid="{00000000-0005-0000-0000-00002D0C0000}"/>
    <cellStyle name="Millares 4 2 2 9" xfId="4651" xr:uid="{69B6AAD4-E182-4F81-B76E-A8D68E14C9C5}"/>
    <cellStyle name="Millares 4 2 2 9 2" xfId="5024" xr:uid="{90C84466-6524-4DB5-846D-9FAF8C44CE34}"/>
    <cellStyle name="Millares 4 2 3" xfId="461" xr:uid="{00000000-0005-0000-0000-00002E0C0000}"/>
    <cellStyle name="Millares 4 2 3 2" xfId="689" xr:uid="{00000000-0005-0000-0000-00002F0C0000}"/>
    <cellStyle name="Millares 4 2 3 2 2" xfId="1089" xr:uid="{00000000-0005-0000-0000-0000300C0000}"/>
    <cellStyle name="Millares 4 2 3 2 2 2" xfId="2672" xr:uid="{00000000-0005-0000-0000-0000310C0000}"/>
    <cellStyle name="Millares 4 2 3 2 2 2 2" xfId="4254" xr:uid="{00000000-0005-0000-0000-0000320C0000}"/>
    <cellStyle name="Millares 4 2 3 2 2 3" xfId="1881" xr:uid="{00000000-0005-0000-0000-0000330C0000}"/>
    <cellStyle name="Millares 4 2 3 2 2 4" xfId="3463" xr:uid="{00000000-0005-0000-0000-0000340C0000}"/>
    <cellStyle name="Millares 4 2 3 2 3" xfId="2278" xr:uid="{00000000-0005-0000-0000-0000350C0000}"/>
    <cellStyle name="Millares 4 2 3 2 3 2" xfId="3860" xr:uid="{00000000-0005-0000-0000-0000360C0000}"/>
    <cellStyle name="Millares 4 2 3 2 4" xfId="1487" xr:uid="{00000000-0005-0000-0000-0000370C0000}"/>
    <cellStyle name="Millares 4 2 3 2 5" xfId="3069" xr:uid="{00000000-0005-0000-0000-0000380C0000}"/>
    <cellStyle name="Millares 4 2 3 3" xfId="868" xr:uid="{00000000-0005-0000-0000-0000390C0000}"/>
    <cellStyle name="Millares 4 2 3 3 2" xfId="2451" xr:uid="{00000000-0005-0000-0000-00003A0C0000}"/>
    <cellStyle name="Millares 4 2 3 3 2 2" xfId="4033" xr:uid="{00000000-0005-0000-0000-00003B0C0000}"/>
    <cellStyle name="Millares 4 2 3 3 3" xfId="1660" xr:uid="{00000000-0005-0000-0000-00003C0C0000}"/>
    <cellStyle name="Millares 4 2 3 3 4" xfId="3242" xr:uid="{00000000-0005-0000-0000-00003D0C0000}"/>
    <cellStyle name="Millares 4 2 3 4" xfId="2057" xr:uid="{00000000-0005-0000-0000-00003E0C0000}"/>
    <cellStyle name="Millares 4 2 3 4 2" xfId="3639" xr:uid="{00000000-0005-0000-0000-00003F0C0000}"/>
    <cellStyle name="Millares 4 2 3 5" xfId="1266" xr:uid="{00000000-0005-0000-0000-0000400C0000}"/>
    <cellStyle name="Millares 4 2 3 6" xfId="2848" xr:uid="{00000000-0005-0000-0000-0000410C0000}"/>
    <cellStyle name="Millares 4 2 4" xfId="538" xr:uid="{00000000-0005-0000-0000-0000420C0000}"/>
    <cellStyle name="Millares 4 2 4 2" xfId="945" xr:uid="{00000000-0005-0000-0000-0000430C0000}"/>
    <cellStyle name="Millares 4 2 4 2 2" xfId="2528" xr:uid="{00000000-0005-0000-0000-0000440C0000}"/>
    <cellStyle name="Millares 4 2 4 2 2 2" xfId="4110" xr:uid="{00000000-0005-0000-0000-0000450C0000}"/>
    <cellStyle name="Millares 4 2 4 2 3" xfId="1737" xr:uid="{00000000-0005-0000-0000-0000460C0000}"/>
    <cellStyle name="Millares 4 2 4 2 4" xfId="3319" xr:uid="{00000000-0005-0000-0000-0000470C0000}"/>
    <cellStyle name="Millares 4 2 4 3" xfId="2134" xr:uid="{00000000-0005-0000-0000-0000480C0000}"/>
    <cellStyle name="Millares 4 2 4 3 2" xfId="3716" xr:uid="{00000000-0005-0000-0000-0000490C0000}"/>
    <cellStyle name="Millares 4 2 4 4" xfId="1343" xr:uid="{00000000-0005-0000-0000-00004A0C0000}"/>
    <cellStyle name="Millares 4 2 4 5" xfId="2925" xr:uid="{00000000-0005-0000-0000-00004B0C0000}"/>
    <cellStyle name="Millares 4 2 5" xfId="613" xr:uid="{00000000-0005-0000-0000-00004C0C0000}"/>
    <cellStyle name="Millares 4 2 5 2" xfId="1013" xr:uid="{00000000-0005-0000-0000-00004D0C0000}"/>
    <cellStyle name="Millares 4 2 5 2 2" xfId="2596" xr:uid="{00000000-0005-0000-0000-00004E0C0000}"/>
    <cellStyle name="Millares 4 2 5 2 2 2" xfId="4178" xr:uid="{00000000-0005-0000-0000-00004F0C0000}"/>
    <cellStyle name="Millares 4 2 5 2 3" xfId="1805" xr:uid="{00000000-0005-0000-0000-0000500C0000}"/>
    <cellStyle name="Millares 4 2 5 2 4" xfId="3387" xr:uid="{00000000-0005-0000-0000-0000510C0000}"/>
    <cellStyle name="Millares 4 2 5 3" xfId="2202" xr:uid="{00000000-0005-0000-0000-0000520C0000}"/>
    <cellStyle name="Millares 4 2 5 3 2" xfId="3784" xr:uid="{00000000-0005-0000-0000-0000530C0000}"/>
    <cellStyle name="Millares 4 2 5 4" xfId="1411" xr:uid="{00000000-0005-0000-0000-0000540C0000}"/>
    <cellStyle name="Millares 4 2 5 5" xfId="2993" xr:uid="{00000000-0005-0000-0000-0000550C0000}"/>
    <cellStyle name="Millares 4 2 6" xfId="765" xr:uid="{00000000-0005-0000-0000-0000560C0000}"/>
    <cellStyle name="Millares 4 2 6 2" xfId="1165" xr:uid="{00000000-0005-0000-0000-0000570C0000}"/>
    <cellStyle name="Millares 4 2 6 2 2" xfId="2748" xr:uid="{00000000-0005-0000-0000-0000580C0000}"/>
    <cellStyle name="Millares 4 2 6 2 2 2" xfId="4330" xr:uid="{00000000-0005-0000-0000-0000590C0000}"/>
    <cellStyle name="Millares 4 2 6 2 3" xfId="1957" xr:uid="{00000000-0005-0000-0000-00005A0C0000}"/>
    <cellStyle name="Millares 4 2 6 2 4" xfId="3539" xr:uid="{00000000-0005-0000-0000-00005B0C0000}"/>
    <cellStyle name="Millares 4 2 6 3" xfId="2354" xr:uid="{00000000-0005-0000-0000-00005C0C0000}"/>
    <cellStyle name="Millares 4 2 6 3 2" xfId="3936" xr:uid="{00000000-0005-0000-0000-00005D0C0000}"/>
    <cellStyle name="Millares 4 2 6 4" xfId="1563" xr:uid="{00000000-0005-0000-0000-00005E0C0000}"/>
    <cellStyle name="Millares 4 2 6 5" xfId="3145" xr:uid="{00000000-0005-0000-0000-00005F0C0000}"/>
    <cellStyle name="Millares 4 2 7" xfId="792" xr:uid="{00000000-0005-0000-0000-0000600C0000}"/>
    <cellStyle name="Millares 4 2 7 2" xfId="2375" xr:uid="{00000000-0005-0000-0000-0000610C0000}"/>
    <cellStyle name="Millares 4 2 7 2 2" xfId="3957" xr:uid="{00000000-0005-0000-0000-0000620C0000}"/>
    <cellStyle name="Millares 4 2 7 3" xfId="1584" xr:uid="{00000000-0005-0000-0000-0000630C0000}"/>
    <cellStyle name="Millares 4 2 7 4" xfId="3166" xr:uid="{00000000-0005-0000-0000-0000640C0000}"/>
    <cellStyle name="Millares 4 2 8" xfId="1981" xr:uid="{00000000-0005-0000-0000-0000650C0000}"/>
    <cellStyle name="Millares 4 2 8 2" xfId="3563" xr:uid="{00000000-0005-0000-0000-0000660C0000}"/>
    <cellStyle name="Millares 4 2 9" xfId="1190" xr:uid="{00000000-0005-0000-0000-0000670C0000}"/>
    <cellStyle name="Millares 4 3" xfId="371" xr:uid="{00000000-0005-0000-0000-0000680C0000}"/>
    <cellStyle name="Millares 4 3 2" xfId="489" xr:uid="{00000000-0005-0000-0000-0000690C0000}"/>
    <cellStyle name="Millares 4 3 2 2" xfId="717" xr:uid="{00000000-0005-0000-0000-00006A0C0000}"/>
    <cellStyle name="Millares 4 3 2 2 2" xfId="1117" xr:uid="{00000000-0005-0000-0000-00006B0C0000}"/>
    <cellStyle name="Millares 4 3 2 2 2 2" xfId="2700" xr:uid="{00000000-0005-0000-0000-00006C0C0000}"/>
    <cellStyle name="Millares 4 3 2 2 2 2 2" xfId="4282" xr:uid="{00000000-0005-0000-0000-00006D0C0000}"/>
    <cellStyle name="Millares 4 3 2 2 2 3" xfId="1909" xr:uid="{00000000-0005-0000-0000-00006E0C0000}"/>
    <cellStyle name="Millares 4 3 2 2 2 4" xfId="3491" xr:uid="{00000000-0005-0000-0000-00006F0C0000}"/>
    <cellStyle name="Millares 4 3 2 2 3" xfId="2306" xr:uid="{00000000-0005-0000-0000-0000700C0000}"/>
    <cellStyle name="Millares 4 3 2 2 3 2" xfId="3888" xr:uid="{00000000-0005-0000-0000-0000710C0000}"/>
    <cellStyle name="Millares 4 3 2 2 4" xfId="1515" xr:uid="{00000000-0005-0000-0000-0000720C0000}"/>
    <cellStyle name="Millares 4 3 2 2 5" xfId="3097" xr:uid="{00000000-0005-0000-0000-0000730C0000}"/>
    <cellStyle name="Millares 4 3 2 3" xfId="896" xr:uid="{00000000-0005-0000-0000-0000740C0000}"/>
    <cellStyle name="Millares 4 3 2 3 2" xfId="2479" xr:uid="{00000000-0005-0000-0000-0000750C0000}"/>
    <cellStyle name="Millares 4 3 2 3 2 2" xfId="4061" xr:uid="{00000000-0005-0000-0000-0000760C0000}"/>
    <cellStyle name="Millares 4 3 2 3 3" xfId="1688" xr:uid="{00000000-0005-0000-0000-0000770C0000}"/>
    <cellStyle name="Millares 4 3 2 3 4" xfId="3270" xr:uid="{00000000-0005-0000-0000-0000780C0000}"/>
    <cellStyle name="Millares 4 3 2 4" xfId="2085" xr:uid="{00000000-0005-0000-0000-0000790C0000}"/>
    <cellStyle name="Millares 4 3 2 4 2" xfId="3667" xr:uid="{00000000-0005-0000-0000-00007A0C0000}"/>
    <cellStyle name="Millares 4 3 2 5" xfId="1294" xr:uid="{00000000-0005-0000-0000-00007B0C0000}"/>
    <cellStyle name="Millares 4 3 2 6" xfId="2876" xr:uid="{00000000-0005-0000-0000-00007C0C0000}"/>
    <cellStyle name="Millares 4 3 3" xfId="566" xr:uid="{00000000-0005-0000-0000-00007D0C0000}"/>
    <cellStyle name="Millares 4 3 3 2" xfId="973" xr:uid="{00000000-0005-0000-0000-00007E0C0000}"/>
    <cellStyle name="Millares 4 3 3 2 2" xfId="2556" xr:uid="{00000000-0005-0000-0000-00007F0C0000}"/>
    <cellStyle name="Millares 4 3 3 2 2 2" xfId="4138" xr:uid="{00000000-0005-0000-0000-0000800C0000}"/>
    <cellStyle name="Millares 4 3 3 2 3" xfId="1765" xr:uid="{00000000-0005-0000-0000-0000810C0000}"/>
    <cellStyle name="Millares 4 3 3 2 4" xfId="3347" xr:uid="{00000000-0005-0000-0000-0000820C0000}"/>
    <cellStyle name="Millares 4 3 3 3" xfId="2162" xr:uid="{00000000-0005-0000-0000-0000830C0000}"/>
    <cellStyle name="Millares 4 3 3 3 2" xfId="3744" xr:uid="{00000000-0005-0000-0000-0000840C0000}"/>
    <cellStyle name="Millares 4 3 3 4" xfId="1371" xr:uid="{00000000-0005-0000-0000-0000850C0000}"/>
    <cellStyle name="Millares 4 3 3 5" xfId="2953" xr:uid="{00000000-0005-0000-0000-0000860C0000}"/>
    <cellStyle name="Millares 4 3 4" xfId="641" xr:uid="{00000000-0005-0000-0000-0000870C0000}"/>
    <cellStyle name="Millares 4 3 4 2" xfId="1041" xr:uid="{00000000-0005-0000-0000-0000880C0000}"/>
    <cellStyle name="Millares 4 3 4 2 2" xfId="2624" xr:uid="{00000000-0005-0000-0000-0000890C0000}"/>
    <cellStyle name="Millares 4 3 4 2 2 2" xfId="4206" xr:uid="{00000000-0005-0000-0000-00008A0C0000}"/>
    <cellStyle name="Millares 4 3 4 2 3" xfId="1833" xr:uid="{00000000-0005-0000-0000-00008B0C0000}"/>
    <cellStyle name="Millares 4 3 4 2 4" xfId="3415" xr:uid="{00000000-0005-0000-0000-00008C0C0000}"/>
    <cellStyle name="Millares 4 3 4 3" xfId="2230" xr:uid="{00000000-0005-0000-0000-00008D0C0000}"/>
    <cellStyle name="Millares 4 3 4 3 2" xfId="3812" xr:uid="{00000000-0005-0000-0000-00008E0C0000}"/>
    <cellStyle name="Millares 4 3 4 4" xfId="1439" xr:uid="{00000000-0005-0000-0000-00008F0C0000}"/>
    <cellStyle name="Millares 4 3 4 5" xfId="3021" xr:uid="{00000000-0005-0000-0000-0000900C0000}"/>
    <cellStyle name="Millares 4 3 5" xfId="820" xr:uid="{00000000-0005-0000-0000-0000910C0000}"/>
    <cellStyle name="Millares 4 3 5 2" xfId="2403" xr:uid="{00000000-0005-0000-0000-0000920C0000}"/>
    <cellStyle name="Millares 4 3 5 2 2" xfId="3985" xr:uid="{00000000-0005-0000-0000-0000930C0000}"/>
    <cellStyle name="Millares 4 3 5 3" xfId="1612" xr:uid="{00000000-0005-0000-0000-0000940C0000}"/>
    <cellStyle name="Millares 4 3 5 4" xfId="3194" xr:uid="{00000000-0005-0000-0000-0000950C0000}"/>
    <cellStyle name="Millares 4 3 6" xfId="2009" xr:uid="{00000000-0005-0000-0000-0000960C0000}"/>
    <cellStyle name="Millares 4 3 6 2" xfId="3591" xr:uid="{00000000-0005-0000-0000-0000970C0000}"/>
    <cellStyle name="Millares 4 3 7" xfId="1218" xr:uid="{00000000-0005-0000-0000-0000980C0000}"/>
    <cellStyle name="Millares 4 3 8" xfId="2800" xr:uid="{00000000-0005-0000-0000-0000990C0000}"/>
    <cellStyle name="Millares 4 4" xfId="448" xr:uid="{00000000-0005-0000-0000-00009A0C0000}"/>
    <cellStyle name="Millares 4 4 2" xfId="676" xr:uid="{00000000-0005-0000-0000-00009B0C0000}"/>
    <cellStyle name="Millares 4 4 2 2" xfId="1076" xr:uid="{00000000-0005-0000-0000-00009C0C0000}"/>
    <cellStyle name="Millares 4 4 2 2 2" xfId="2659" xr:uid="{00000000-0005-0000-0000-00009D0C0000}"/>
    <cellStyle name="Millares 4 4 2 2 2 2" xfId="4241" xr:uid="{00000000-0005-0000-0000-00009E0C0000}"/>
    <cellStyle name="Millares 4 4 2 2 3" xfId="1868" xr:uid="{00000000-0005-0000-0000-00009F0C0000}"/>
    <cellStyle name="Millares 4 4 2 2 4" xfId="3450" xr:uid="{00000000-0005-0000-0000-0000A00C0000}"/>
    <cellStyle name="Millares 4 4 2 3" xfId="2265" xr:uid="{00000000-0005-0000-0000-0000A10C0000}"/>
    <cellStyle name="Millares 4 4 2 3 2" xfId="3847" xr:uid="{00000000-0005-0000-0000-0000A20C0000}"/>
    <cellStyle name="Millares 4 4 2 4" xfId="1474" xr:uid="{00000000-0005-0000-0000-0000A30C0000}"/>
    <cellStyle name="Millares 4 4 2 5" xfId="3056" xr:uid="{00000000-0005-0000-0000-0000A40C0000}"/>
    <cellStyle name="Millares 4 4 3" xfId="855" xr:uid="{00000000-0005-0000-0000-0000A50C0000}"/>
    <cellStyle name="Millares 4 4 3 2" xfId="2438" xr:uid="{00000000-0005-0000-0000-0000A60C0000}"/>
    <cellStyle name="Millares 4 4 3 2 2" xfId="4020" xr:uid="{00000000-0005-0000-0000-0000A70C0000}"/>
    <cellStyle name="Millares 4 4 3 3" xfId="1647" xr:uid="{00000000-0005-0000-0000-0000A80C0000}"/>
    <cellStyle name="Millares 4 4 3 4" xfId="3229" xr:uid="{00000000-0005-0000-0000-0000A90C0000}"/>
    <cellStyle name="Millares 4 4 4" xfId="2044" xr:uid="{00000000-0005-0000-0000-0000AA0C0000}"/>
    <cellStyle name="Millares 4 4 4 2" xfId="3626" xr:uid="{00000000-0005-0000-0000-0000AB0C0000}"/>
    <cellStyle name="Millares 4 4 5" xfId="1253" xr:uid="{00000000-0005-0000-0000-0000AC0C0000}"/>
    <cellStyle name="Millares 4 4 6" xfId="2835" xr:uid="{00000000-0005-0000-0000-0000AD0C0000}"/>
    <cellStyle name="Millares 4 5" xfId="525" xr:uid="{00000000-0005-0000-0000-0000AE0C0000}"/>
    <cellStyle name="Millares 4 5 2" xfId="932" xr:uid="{00000000-0005-0000-0000-0000AF0C0000}"/>
    <cellStyle name="Millares 4 5 2 2" xfId="2515" xr:uid="{00000000-0005-0000-0000-0000B00C0000}"/>
    <cellStyle name="Millares 4 5 2 2 2" xfId="4097" xr:uid="{00000000-0005-0000-0000-0000B10C0000}"/>
    <cellStyle name="Millares 4 5 2 3" xfId="1724" xr:uid="{00000000-0005-0000-0000-0000B20C0000}"/>
    <cellStyle name="Millares 4 5 2 4" xfId="3306" xr:uid="{00000000-0005-0000-0000-0000B30C0000}"/>
    <cellStyle name="Millares 4 5 3" xfId="2121" xr:uid="{00000000-0005-0000-0000-0000B40C0000}"/>
    <cellStyle name="Millares 4 5 3 2" xfId="3703" xr:uid="{00000000-0005-0000-0000-0000B50C0000}"/>
    <cellStyle name="Millares 4 5 4" xfId="1330" xr:uid="{00000000-0005-0000-0000-0000B60C0000}"/>
    <cellStyle name="Millares 4 5 5" xfId="2912" xr:uid="{00000000-0005-0000-0000-0000B70C0000}"/>
    <cellStyle name="Millares 4 6" xfId="600" xr:uid="{00000000-0005-0000-0000-0000B80C0000}"/>
    <cellStyle name="Millares 4 6 2" xfId="1000" xr:uid="{00000000-0005-0000-0000-0000B90C0000}"/>
    <cellStyle name="Millares 4 6 2 2" xfId="2583" xr:uid="{00000000-0005-0000-0000-0000BA0C0000}"/>
    <cellStyle name="Millares 4 6 2 2 2" xfId="4165" xr:uid="{00000000-0005-0000-0000-0000BB0C0000}"/>
    <cellStyle name="Millares 4 6 2 3" xfId="1792" xr:uid="{00000000-0005-0000-0000-0000BC0C0000}"/>
    <cellStyle name="Millares 4 6 2 4" xfId="3374" xr:uid="{00000000-0005-0000-0000-0000BD0C0000}"/>
    <cellStyle name="Millares 4 6 3" xfId="2189" xr:uid="{00000000-0005-0000-0000-0000BE0C0000}"/>
    <cellStyle name="Millares 4 6 3 2" xfId="3771" xr:uid="{00000000-0005-0000-0000-0000BF0C0000}"/>
    <cellStyle name="Millares 4 6 4" xfId="1398" xr:uid="{00000000-0005-0000-0000-0000C00C0000}"/>
    <cellStyle name="Millares 4 6 5" xfId="2980" xr:uid="{00000000-0005-0000-0000-0000C10C0000}"/>
    <cellStyle name="Millares 4 7" xfId="752" xr:uid="{00000000-0005-0000-0000-0000C20C0000}"/>
    <cellStyle name="Millares 4 7 2" xfId="1152" xr:uid="{00000000-0005-0000-0000-0000C30C0000}"/>
    <cellStyle name="Millares 4 7 2 2" xfId="2735" xr:uid="{00000000-0005-0000-0000-0000C40C0000}"/>
    <cellStyle name="Millares 4 7 2 2 2" xfId="4317" xr:uid="{00000000-0005-0000-0000-0000C50C0000}"/>
    <cellStyle name="Millares 4 7 2 3" xfId="1944" xr:uid="{00000000-0005-0000-0000-0000C60C0000}"/>
    <cellStyle name="Millares 4 7 2 4" xfId="3526" xr:uid="{00000000-0005-0000-0000-0000C70C0000}"/>
    <cellStyle name="Millares 4 7 3" xfId="2341" xr:uid="{00000000-0005-0000-0000-0000C80C0000}"/>
    <cellStyle name="Millares 4 7 3 2" xfId="3923" xr:uid="{00000000-0005-0000-0000-0000C90C0000}"/>
    <cellStyle name="Millares 4 7 4" xfId="1550" xr:uid="{00000000-0005-0000-0000-0000CA0C0000}"/>
    <cellStyle name="Millares 4 7 5" xfId="3132" xr:uid="{00000000-0005-0000-0000-0000CB0C0000}"/>
    <cellStyle name="Millares 4 8" xfId="779" xr:uid="{00000000-0005-0000-0000-0000CC0C0000}"/>
    <cellStyle name="Millares 4 8 2" xfId="2362" xr:uid="{00000000-0005-0000-0000-0000CD0C0000}"/>
    <cellStyle name="Millares 4 8 2 2" xfId="3944" xr:uid="{00000000-0005-0000-0000-0000CE0C0000}"/>
    <cellStyle name="Millares 4 8 3" xfId="1571" xr:uid="{00000000-0005-0000-0000-0000CF0C0000}"/>
    <cellStyle name="Millares 4 8 4" xfId="3153" xr:uid="{00000000-0005-0000-0000-0000D00C0000}"/>
    <cellStyle name="Millares 4 9" xfId="1968" xr:uid="{00000000-0005-0000-0000-0000D10C0000}"/>
    <cellStyle name="Millares 4 9 2" xfId="3550" xr:uid="{00000000-0005-0000-0000-0000D20C0000}"/>
    <cellStyle name="Millares 40" xfId="444" xr:uid="{00000000-0005-0000-0000-0000D30C0000}"/>
    <cellStyle name="Millares 40 2" xfId="520" xr:uid="{00000000-0005-0000-0000-0000D40C0000}"/>
    <cellStyle name="Millares 40 2 2" xfId="748" xr:uid="{00000000-0005-0000-0000-0000D50C0000}"/>
    <cellStyle name="Millares 40 2 2 2" xfId="1148" xr:uid="{00000000-0005-0000-0000-0000D60C0000}"/>
    <cellStyle name="Millares 40 2 2 2 2" xfId="2731" xr:uid="{00000000-0005-0000-0000-0000D70C0000}"/>
    <cellStyle name="Millares 40 2 2 2 2 2" xfId="4313" xr:uid="{00000000-0005-0000-0000-0000D80C0000}"/>
    <cellStyle name="Millares 40 2 2 2 3" xfId="1940" xr:uid="{00000000-0005-0000-0000-0000D90C0000}"/>
    <cellStyle name="Millares 40 2 2 2 4" xfId="3522" xr:uid="{00000000-0005-0000-0000-0000DA0C0000}"/>
    <cellStyle name="Millares 40 2 2 3" xfId="2337" xr:uid="{00000000-0005-0000-0000-0000DB0C0000}"/>
    <cellStyle name="Millares 40 2 2 3 2" xfId="3919" xr:uid="{00000000-0005-0000-0000-0000DC0C0000}"/>
    <cellStyle name="Millares 40 2 2 4" xfId="1546" xr:uid="{00000000-0005-0000-0000-0000DD0C0000}"/>
    <cellStyle name="Millares 40 2 2 5" xfId="3128" xr:uid="{00000000-0005-0000-0000-0000DE0C0000}"/>
    <cellStyle name="Millares 40 2 3" xfId="927" xr:uid="{00000000-0005-0000-0000-0000DF0C0000}"/>
    <cellStyle name="Millares 40 2 3 2" xfId="2510" xr:uid="{00000000-0005-0000-0000-0000E00C0000}"/>
    <cellStyle name="Millares 40 2 3 2 2" xfId="4092" xr:uid="{00000000-0005-0000-0000-0000E10C0000}"/>
    <cellStyle name="Millares 40 2 3 3" xfId="1719" xr:uid="{00000000-0005-0000-0000-0000E20C0000}"/>
    <cellStyle name="Millares 40 2 3 4" xfId="3301" xr:uid="{00000000-0005-0000-0000-0000E30C0000}"/>
    <cellStyle name="Millares 40 2 4" xfId="2116" xr:uid="{00000000-0005-0000-0000-0000E40C0000}"/>
    <cellStyle name="Millares 40 2 4 2" xfId="3698" xr:uid="{00000000-0005-0000-0000-0000E50C0000}"/>
    <cellStyle name="Millares 40 2 5" xfId="1325" xr:uid="{00000000-0005-0000-0000-0000E60C0000}"/>
    <cellStyle name="Millares 40 2 6" xfId="2907" xr:uid="{00000000-0005-0000-0000-0000E70C0000}"/>
    <cellStyle name="Millares 40 3" xfId="672" xr:uid="{00000000-0005-0000-0000-0000E80C0000}"/>
    <cellStyle name="Millares 40 3 2" xfId="1072" xr:uid="{00000000-0005-0000-0000-0000E90C0000}"/>
    <cellStyle name="Millares 40 3 2 2" xfId="2655" xr:uid="{00000000-0005-0000-0000-0000EA0C0000}"/>
    <cellStyle name="Millares 40 3 2 2 2" xfId="4237" xr:uid="{00000000-0005-0000-0000-0000EB0C0000}"/>
    <cellStyle name="Millares 40 3 2 3" xfId="1864" xr:uid="{00000000-0005-0000-0000-0000EC0C0000}"/>
    <cellStyle name="Millares 40 3 2 4" xfId="3446" xr:uid="{00000000-0005-0000-0000-0000ED0C0000}"/>
    <cellStyle name="Millares 40 3 3" xfId="2261" xr:uid="{00000000-0005-0000-0000-0000EE0C0000}"/>
    <cellStyle name="Millares 40 3 3 2" xfId="3843" xr:uid="{00000000-0005-0000-0000-0000EF0C0000}"/>
    <cellStyle name="Millares 40 3 4" xfId="1470" xr:uid="{00000000-0005-0000-0000-0000F00C0000}"/>
    <cellStyle name="Millares 40 3 5" xfId="3052" xr:uid="{00000000-0005-0000-0000-0000F10C0000}"/>
    <cellStyle name="Millares 40 4" xfId="851" xr:uid="{00000000-0005-0000-0000-0000F20C0000}"/>
    <cellStyle name="Millares 40 4 2" xfId="2434" xr:uid="{00000000-0005-0000-0000-0000F30C0000}"/>
    <cellStyle name="Millares 40 4 2 2" xfId="4016" xr:uid="{00000000-0005-0000-0000-0000F40C0000}"/>
    <cellStyle name="Millares 40 4 3" xfId="1643" xr:uid="{00000000-0005-0000-0000-0000F50C0000}"/>
    <cellStyle name="Millares 40 4 4" xfId="3225" xr:uid="{00000000-0005-0000-0000-0000F60C0000}"/>
    <cellStyle name="Millares 40 5" xfId="2040" xr:uid="{00000000-0005-0000-0000-0000F70C0000}"/>
    <cellStyle name="Millares 40 5 2" xfId="3622" xr:uid="{00000000-0005-0000-0000-0000F80C0000}"/>
    <cellStyle name="Millares 40 6" xfId="1249" xr:uid="{00000000-0005-0000-0000-0000F90C0000}"/>
    <cellStyle name="Millares 40 7" xfId="2831" xr:uid="{00000000-0005-0000-0000-0000FA0C0000}"/>
    <cellStyle name="Millares 41" xfId="438" xr:uid="{00000000-0005-0000-0000-0000FB0C0000}"/>
    <cellStyle name="Millares 41 2" xfId="514" xr:uid="{00000000-0005-0000-0000-0000FC0C0000}"/>
    <cellStyle name="Millares 41 2 2" xfId="742" xr:uid="{00000000-0005-0000-0000-0000FD0C0000}"/>
    <cellStyle name="Millares 41 2 2 2" xfId="1142" xr:uid="{00000000-0005-0000-0000-0000FE0C0000}"/>
    <cellStyle name="Millares 41 2 2 2 2" xfId="2725" xr:uid="{00000000-0005-0000-0000-0000FF0C0000}"/>
    <cellStyle name="Millares 41 2 2 2 2 2" xfId="4307" xr:uid="{00000000-0005-0000-0000-0000000D0000}"/>
    <cellStyle name="Millares 41 2 2 2 3" xfId="1934" xr:uid="{00000000-0005-0000-0000-0000010D0000}"/>
    <cellStyle name="Millares 41 2 2 2 4" xfId="3516" xr:uid="{00000000-0005-0000-0000-0000020D0000}"/>
    <cellStyle name="Millares 41 2 2 3" xfId="2331" xr:uid="{00000000-0005-0000-0000-0000030D0000}"/>
    <cellStyle name="Millares 41 2 2 3 2" xfId="3913" xr:uid="{00000000-0005-0000-0000-0000040D0000}"/>
    <cellStyle name="Millares 41 2 2 4" xfId="1540" xr:uid="{00000000-0005-0000-0000-0000050D0000}"/>
    <cellStyle name="Millares 41 2 2 5" xfId="3122" xr:uid="{00000000-0005-0000-0000-0000060D0000}"/>
    <cellStyle name="Millares 41 2 3" xfId="921" xr:uid="{00000000-0005-0000-0000-0000070D0000}"/>
    <cellStyle name="Millares 41 2 3 2" xfId="2504" xr:uid="{00000000-0005-0000-0000-0000080D0000}"/>
    <cellStyle name="Millares 41 2 3 2 2" xfId="4086" xr:uid="{00000000-0005-0000-0000-0000090D0000}"/>
    <cellStyle name="Millares 41 2 3 3" xfId="1713" xr:uid="{00000000-0005-0000-0000-00000A0D0000}"/>
    <cellStyle name="Millares 41 2 3 4" xfId="3295" xr:uid="{00000000-0005-0000-0000-00000B0D0000}"/>
    <cellStyle name="Millares 41 2 4" xfId="2110" xr:uid="{00000000-0005-0000-0000-00000C0D0000}"/>
    <cellStyle name="Millares 41 2 4 2" xfId="3692" xr:uid="{00000000-0005-0000-0000-00000D0D0000}"/>
    <cellStyle name="Millares 41 2 5" xfId="1319" xr:uid="{00000000-0005-0000-0000-00000E0D0000}"/>
    <cellStyle name="Millares 41 2 6" xfId="2901" xr:uid="{00000000-0005-0000-0000-00000F0D0000}"/>
    <cellStyle name="Millares 41 3" xfId="666" xr:uid="{00000000-0005-0000-0000-0000100D0000}"/>
    <cellStyle name="Millares 41 3 2" xfId="1066" xr:uid="{00000000-0005-0000-0000-0000110D0000}"/>
    <cellStyle name="Millares 41 3 2 2" xfId="2649" xr:uid="{00000000-0005-0000-0000-0000120D0000}"/>
    <cellStyle name="Millares 41 3 2 2 2" xfId="4231" xr:uid="{00000000-0005-0000-0000-0000130D0000}"/>
    <cellStyle name="Millares 41 3 2 3" xfId="1858" xr:uid="{00000000-0005-0000-0000-0000140D0000}"/>
    <cellStyle name="Millares 41 3 2 4" xfId="3440" xr:uid="{00000000-0005-0000-0000-0000150D0000}"/>
    <cellStyle name="Millares 41 3 3" xfId="2255" xr:uid="{00000000-0005-0000-0000-0000160D0000}"/>
    <cellStyle name="Millares 41 3 3 2" xfId="3837" xr:uid="{00000000-0005-0000-0000-0000170D0000}"/>
    <cellStyle name="Millares 41 3 4" xfId="1464" xr:uid="{00000000-0005-0000-0000-0000180D0000}"/>
    <cellStyle name="Millares 41 3 5" xfId="3046" xr:uid="{00000000-0005-0000-0000-0000190D0000}"/>
    <cellStyle name="Millares 41 4" xfId="845" xr:uid="{00000000-0005-0000-0000-00001A0D0000}"/>
    <cellStyle name="Millares 41 4 2" xfId="2428" xr:uid="{00000000-0005-0000-0000-00001B0D0000}"/>
    <cellStyle name="Millares 41 4 2 2" xfId="4010" xr:uid="{00000000-0005-0000-0000-00001C0D0000}"/>
    <cellStyle name="Millares 41 4 3" xfId="1637" xr:uid="{00000000-0005-0000-0000-00001D0D0000}"/>
    <cellStyle name="Millares 41 4 4" xfId="3219" xr:uid="{00000000-0005-0000-0000-00001E0D0000}"/>
    <cellStyle name="Millares 41 5" xfId="2034" xr:uid="{00000000-0005-0000-0000-00001F0D0000}"/>
    <cellStyle name="Millares 41 5 2" xfId="3616" xr:uid="{00000000-0005-0000-0000-0000200D0000}"/>
    <cellStyle name="Millares 41 6" xfId="1243" xr:uid="{00000000-0005-0000-0000-0000210D0000}"/>
    <cellStyle name="Millares 41 7" xfId="2825" xr:uid="{00000000-0005-0000-0000-0000220D0000}"/>
    <cellStyle name="Millares 42" xfId="443" xr:uid="{00000000-0005-0000-0000-0000230D0000}"/>
    <cellStyle name="Millares 42 2" xfId="519" xr:uid="{00000000-0005-0000-0000-0000240D0000}"/>
    <cellStyle name="Millares 42 2 2" xfId="747" xr:uid="{00000000-0005-0000-0000-0000250D0000}"/>
    <cellStyle name="Millares 42 2 2 2" xfId="1147" xr:uid="{00000000-0005-0000-0000-0000260D0000}"/>
    <cellStyle name="Millares 42 2 2 2 2" xfId="2730" xr:uid="{00000000-0005-0000-0000-0000270D0000}"/>
    <cellStyle name="Millares 42 2 2 2 2 2" xfId="4312" xr:uid="{00000000-0005-0000-0000-0000280D0000}"/>
    <cellStyle name="Millares 42 2 2 2 3" xfId="1939" xr:uid="{00000000-0005-0000-0000-0000290D0000}"/>
    <cellStyle name="Millares 42 2 2 2 4" xfId="3521" xr:uid="{00000000-0005-0000-0000-00002A0D0000}"/>
    <cellStyle name="Millares 42 2 2 3" xfId="2336" xr:uid="{00000000-0005-0000-0000-00002B0D0000}"/>
    <cellStyle name="Millares 42 2 2 3 2" xfId="3918" xr:uid="{00000000-0005-0000-0000-00002C0D0000}"/>
    <cellStyle name="Millares 42 2 2 4" xfId="1545" xr:uid="{00000000-0005-0000-0000-00002D0D0000}"/>
    <cellStyle name="Millares 42 2 2 5" xfId="3127" xr:uid="{00000000-0005-0000-0000-00002E0D0000}"/>
    <cellStyle name="Millares 42 2 3" xfId="926" xr:uid="{00000000-0005-0000-0000-00002F0D0000}"/>
    <cellStyle name="Millares 42 2 3 2" xfId="2509" xr:uid="{00000000-0005-0000-0000-0000300D0000}"/>
    <cellStyle name="Millares 42 2 3 2 2" xfId="4091" xr:uid="{00000000-0005-0000-0000-0000310D0000}"/>
    <cellStyle name="Millares 42 2 3 3" xfId="1718" xr:uid="{00000000-0005-0000-0000-0000320D0000}"/>
    <cellStyle name="Millares 42 2 3 4" xfId="3300" xr:uid="{00000000-0005-0000-0000-0000330D0000}"/>
    <cellStyle name="Millares 42 2 4" xfId="2115" xr:uid="{00000000-0005-0000-0000-0000340D0000}"/>
    <cellStyle name="Millares 42 2 4 2" xfId="3697" xr:uid="{00000000-0005-0000-0000-0000350D0000}"/>
    <cellStyle name="Millares 42 2 5" xfId="1324" xr:uid="{00000000-0005-0000-0000-0000360D0000}"/>
    <cellStyle name="Millares 42 2 6" xfId="2906" xr:uid="{00000000-0005-0000-0000-0000370D0000}"/>
    <cellStyle name="Millares 42 3" xfId="671" xr:uid="{00000000-0005-0000-0000-0000380D0000}"/>
    <cellStyle name="Millares 42 3 2" xfId="1071" xr:uid="{00000000-0005-0000-0000-0000390D0000}"/>
    <cellStyle name="Millares 42 3 2 2" xfId="2654" xr:uid="{00000000-0005-0000-0000-00003A0D0000}"/>
    <cellStyle name="Millares 42 3 2 2 2" xfId="4236" xr:uid="{00000000-0005-0000-0000-00003B0D0000}"/>
    <cellStyle name="Millares 42 3 2 3" xfId="1863" xr:uid="{00000000-0005-0000-0000-00003C0D0000}"/>
    <cellStyle name="Millares 42 3 2 4" xfId="3445" xr:uid="{00000000-0005-0000-0000-00003D0D0000}"/>
    <cellStyle name="Millares 42 3 3" xfId="2260" xr:uid="{00000000-0005-0000-0000-00003E0D0000}"/>
    <cellStyle name="Millares 42 3 3 2" xfId="3842" xr:uid="{00000000-0005-0000-0000-00003F0D0000}"/>
    <cellStyle name="Millares 42 3 4" xfId="1469" xr:uid="{00000000-0005-0000-0000-0000400D0000}"/>
    <cellStyle name="Millares 42 3 5" xfId="3051" xr:uid="{00000000-0005-0000-0000-0000410D0000}"/>
    <cellStyle name="Millares 42 4" xfId="850" xr:uid="{00000000-0005-0000-0000-0000420D0000}"/>
    <cellStyle name="Millares 42 4 2" xfId="2433" xr:uid="{00000000-0005-0000-0000-0000430D0000}"/>
    <cellStyle name="Millares 42 4 2 2" xfId="4015" xr:uid="{00000000-0005-0000-0000-0000440D0000}"/>
    <cellStyle name="Millares 42 4 3" xfId="1642" xr:uid="{00000000-0005-0000-0000-0000450D0000}"/>
    <cellStyle name="Millares 42 4 4" xfId="3224" xr:uid="{00000000-0005-0000-0000-0000460D0000}"/>
    <cellStyle name="Millares 42 5" xfId="2039" xr:uid="{00000000-0005-0000-0000-0000470D0000}"/>
    <cellStyle name="Millares 42 5 2" xfId="3621" xr:uid="{00000000-0005-0000-0000-0000480D0000}"/>
    <cellStyle name="Millares 42 6" xfId="1248" xr:uid="{00000000-0005-0000-0000-0000490D0000}"/>
    <cellStyle name="Millares 42 7" xfId="2830" xr:uid="{00000000-0005-0000-0000-00004A0D0000}"/>
    <cellStyle name="Millares 43" xfId="439" xr:uid="{00000000-0005-0000-0000-00004B0D0000}"/>
    <cellStyle name="Millares 43 2" xfId="515" xr:uid="{00000000-0005-0000-0000-00004C0D0000}"/>
    <cellStyle name="Millares 43 2 2" xfId="743" xr:uid="{00000000-0005-0000-0000-00004D0D0000}"/>
    <cellStyle name="Millares 43 2 2 2" xfId="1143" xr:uid="{00000000-0005-0000-0000-00004E0D0000}"/>
    <cellStyle name="Millares 43 2 2 2 2" xfId="2726" xr:uid="{00000000-0005-0000-0000-00004F0D0000}"/>
    <cellStyle name="Millares 43 2 2 2 2 2" xfId="4308" xr:uid="{00000000-0005-0000-0000-0000500D0000}"/>
    <cellStyle name="Millares 43 2 2 2 3" xfId="1935" xr:uid="{00000000-0005-0000-0000-0000510D0000}"/>
    <cellStyle name="Millares 43 2 2 2 4" xfId="3517" xr:uid="{00000000-0005-0000-0000-0000520D0000}"/>
    <cellStyle name="Millares 43 2 2 3" xfId="2332" xr:uid="{00000000-0005-0000-0000-0000530D0000}"/>
    <cellStyle name="Millares 43 2 2 3 2" xfId="3914" xr:uid="{00000000-0005-0000-0000-0000540D0000}"/>
    <cellStyle name="Millares 43 2 2 4" xfId="1541" xr:uid="{00000000-0005-0000-0000-0000550D0000}"/>
    <cellStyle name="Millares 43 2 2 5" xfId="3123" xr:uid="{00000000-0005-0000-0000-0000560D0000}"/>
    <cellStyle name="Millares 43 2 3" xfId="922" xr:uid="{00000000-0005-0000-0000-0000570D0000}"/>
    <cellStyle name="Millares 43 2 3 2" xfId="2505" xr:uid="{00000000-0005-0000-0000-0000580D0000}"/>
    <cellStyle name="Millares 43 2 3 2 2" xfId="4087" xr:uid="{00000000-0005-0000-0000-0000590D0000}"/>
    <cellStyle name="Millares 43 2 3 3" xfId="1714" xr:uid="{00000000-0005-0000-0000-00005A0D0000}"/>
    <cellStyle name="Millares 43 2 3 4" xfId="3296" xr:uid="{00000000-0005-0000-0000-00005B0D0000}"/>
    <cellStyle name="Millares 43 2 4" xfId="2111" xr:uid="{00000000-0005-0000-0000-00005C0D0000}"/>
    <cellStyle name="Millares 43 2 4 2" xfId="3693" xr:uid="{00000000-0005-0000-0000-00005D0D0000}"/>
    <cellStyle name="Millares 43 2 5" xfId="1320" xr:uid="{00000000-0005-0000-0000-00005E0D0000}"/>
    <cellStyle name="Millares 43 2 6" xfId="2902" xr:uid="{00000000-0005-0000-0000-00005F0D0000}"/>
    <cellStyle name="Millares 43 3" xfId="667" xr:uid="{00000000-0005-0000-0000-0000600D0000}"/>
    <cellStyle name="Millares 43 3 2" xfId="1067" xr:uid="{00000000-0005-0000-0000-0000610D0000}"/>
    <cellStyle name="Millares 43 3 2 2" xfId="2650" xr:uid="{00000000-0005-0000-0000-0000620D0000}"/>
    <cellStyle name="Millares 43 3 2 2 2" xfId="4232" xr:uid="{00000000-0005-0000-0000-0000630D0000}"/>
    <cellStyle name="Millares 43 3 2 3" xfId="1859" xr:uid="{00000000-0005-0000-0000-0000640D0000}"/>
    <cellStyle name="Millares 43 3 2 4" xfId="3441" xr:uid="{00000000-0005-0000-0000-0000650D0000}"/>
    <cellStyle name="Millares 43 3 3" xfId="2256" xr:uid="{00000000-0005-0000-0000-0000660D0000}"/>
    <cellStyle name="Millares 43 3 3 2" xfId="3838" xr:uid="{00000000-0005-0000-0000-0000670D0000}"/>
    <cellStyle name="Millares 43 3 4" xfId="1465" xr:uid="{00000000-0005-0000-0000-0000680D0000}"/>
    <cellStyle name="Millares 43 3 5" xfId="3047" xr:uid="{00000000-0005-0000-0000-0000690D0000}"/>
    <cellStyle name="Millares 43 4" xfId="846" xr:uid="{00000000-0005-0000-0000-00006A0D0000}"/>
    <cellStyle name="Millares 43 4 2" xfId="2429" xr:uid="{00000000-0005-0000-0000-00006B0D0000}"/>
    <cellStyle name="Millares 43 4 2 2" xfId="4011" xr:uid="{00000000-0005-0000-0000-00006C0D0000}"/>
    <cellStyle name="Millares 43 4 3" xfId="1638" xr:uid="{00000000-0005-0000-0000-00006D0D0000}"/>
    <cellStyle name="Millares 43 4 4" xfId="3220" xr:uid="{00000000-0005-0000-0000-00006E0D0000}"/>
    <cellStyle name="Millares 43 5" xfId="2035" xr:uid="{00000000-0005-0000-0000-00006F0D0000}"/>
    <cellStyle name="Millares 43 5 2" xfId="3617" xr:uid="{00000000-0005-0000-0000-0000700D0000}"/>
    <cellStyle name="Millares 43 6" xfId="1244" xr:uid="{00000000-0005-0000-0000-0000710D0000}"/>
    <cellStyle name="Millares 43 7" xfId="2826" xr:uid="{00000000-0005-0000-0000-0000720D0000}"/>
    <cellStyle name="Millares 44" xfId="441" xr:uid="{00000000-0005-0000-0000-0000730D0000}"/>
    <cellStyle name="Millares 44 2" xfId="517" xr:uid="{00000000-0005-0000-0000-0000740D0000}"/>
    <cellStyle name="Millares 44 2 2" xfId="745" xr:uid="{00000000-0005-0000-0000-0000750D0000}"/>
    <cellStyle name="Millares 44 2 2 2" xfId="1145" xr:uid="{00000000-0005-0000-0000-0000760D0000}"/>
    <cellStyle name="Millares 44 2 2 2 2" xfId="2728" xr:uid="{00000000-0005-0000-0000-0000770D0000}"/>
    <cellStyle name="Millares 44 2 2 2 2 2" xfId="4310" xr:uid="{00000000-0005-0000-0000-0000780D0000}"/>
    <cellStyle name="Millares 44 2 2 2 3" xfId="1937" xr:uid="{00000000-0005-0000-0000-0000790D0000}"/>
    <cellStyle name="Millares 44 2 2 2 4" xfId="3519" xr:uid="{00000000-0005-0000-0000-00007A0D0000}"/>
    <cellStyle name="Millares 44 2 2 3" xfId="2334" xr:uid="{00000000-0005-0000-0000-00007B0D0000}"/>
    <cellStyle name="Millares 44 2 2 3 2" xfId="3916" xr:uid="{00000000-0005-0000-0000-00007C0D0000}"/>
    <cellStyle name="Millares 44 2 2 4" xfId="1543" xr:uid="{00000000-0005-0000-0000-00007D0D0000}"/>
    <cellStyle name="Millares 44 2 2 5" xfId="3125" xr:uid="{00000000-0005-0000-0000-00007E0D0000}"/>
    <cellStyle name="Millares 44 2 3" xfId="924" xr:uid="{00000000-0005-0000-0000-00007F0D0000}"/>
    <cellStyle name="Millares 44 2 3 2" xfId="2507" xr:uid="{00000000-0005-0000-0000-0000800D0000}"/>
    <cellStyle name="Millares 44 2 3 2 2" xfId="4089" xr:uid="{00000000-0005-0000-0000-0000810D0000}"/>
    <cellStyle name="Millares 44 2 3 3" xfId="1716" xr:uid="{00000000-0005-0000-0000-0000820D0000}"/>
    <cellStyle name="Millares 44 2 3 4" xfId="3298" xr:uid="{00000000-0005-0000-0000-0000830D0000}"/>
    <cellStyle name="Millares 44 2 4" xfId="2113" xr:uid="{00000000-0005-0000-0000-0000840D0000}"/>
    <cellStyle name="Millares 44 2 4 2" xfId="3695" xr:uid="{00000000-0005-0000-0000-0000850D0000}"/>
    <cellStyle name="Millares 44 2 5" xfId="1322" xr:uid="{00000000-0005-0000-0000-0000860D0000}"/>
    <cellStyle name="Millares 44 2 6" xfId="2904" xr:uid="{00000000-0005-0000-0000-0000870D0000}"/>
    <cellStyle name="Millares 44 3" xfId="669" xr:uid="{00000000-0005-0000-0000-0000880D0000}"/>
    <cellStyle name="Millares 44 3 2" xfId="1069" xr:uid="{00000000-0005-0000-0000-0000890D0000}"/>
    <cellStyle name="Millares 44 3 2 2" xfId="2652" xr:uid="{00000000-0005-0000-0000-00008A0D0000}"/>
    <cellStyle name="Millares 44 3 2 2 2" xfId="4234" xr:uid="{00000000-0005-0000-0000-00008B0D0000}"/>
    <cellStyle name="Millares 44 3 2 3" xfId="1861" xr:uid="{00000000-0005-0000-0000-00008C0D0000}"/>
    <cellStyle name="Millares 44 3 2 4" xfId="3443" xr:uid="{00000000-0005-0000-0000-00008D0D0000}"/>
    <cellStyle name="Millares 44 3 3" xfId="2258" xr:uid="{00000000-0005-0000-0000-00008E0D0000}"/>
    <cellStyle name="Millares 44 3 3 2" xfId="3840" xr:uid="{00000000-0005-0000-0000-00008F0D0000}"/>
    <cellStyle name="Millares 44 3 4" xfId="1467" xr:uid="{00000000-0005-0000-0000-0000900D0000}"/>
    <cellStyle name="Millares 44 3 5" xfId="3049" xr:uid="{00000000-0005-0000-0000-0000910D0000}"/>
    <cellStyle name="Millares 44 4" xfId="848" xr:uid="{00000000-0005-0000-0000-0000920D0000}"/>
    <cellStyle name="Millares 44 4 2" xfId="2431" xr:uid="{00000000-0005-0000-0000-0000930D0000}"/>
    <cellStyle name="Millares 44 4 2 2" xfId="4013" xr:uid="{00000000-0005-0000-0000-0000940D0000}"/>
    <cellStyle name="Millares 44 4 3" xfId="1640" xr:uid="{00000000-0005-0000-0000-0000950D0000}"/>
    <cellStyle name="Millares 44 4 4" xfId="3222" xr:uid="{00000000-0005-0000-0000-0000960D0000}"/>
    <cellStyle name="Millares 44 5" xfId="2037" xr:uid="{00000000-0005-0000-0000-0000970D0000}"/>
    <cellStyle name="Millares 44 5 2" xfId="3619" xr:uid="{00000000-0005-0000-0000-0000980D0000}"/>
    <cellStyle name="Millares 44 6" xfId="1246" xr:uid="{00000000-0005-0000-0000-0000990D0000}"/>
    <cellStyle name="Millares 44 7" xfId="2828" xr:uid="{00000000-0005-0000-0000-00009A0D0000}"/>
    <cellStyle name="Millares 45" xfId="442" xr:uid="{00000000-0005-0000-0000-00009B0D0000}"/>
    <cellStyle name="Millares 45 2" xfId="518" xr:uid="{00000000-0005-0000-0000-00009C0D0000}"/>
    <cellStyle name="Millares 45 2 2" xfId="746" xr:uid="{00000000-0005-0000-0000-00009D0D0000}"/>
    <cellStyle name="Millares 45 2 2 2" xfId="1146" xr:uid="{00000000-0005-0000-0000-00009E0D0000}"/>
    <cellStyle name="Millares 45 2 2 2 2" xfId="2729" xr:uid="{00000000-0005-0000-0000-00009F0D0000}"/>
    <cellStyle name="Millares 45 2 2 2 2 2" xfId="4311" xr:uid="{00000000-0005-0000-0000-0000A00D0000}"/>
    <cellStyle name="Millares 45 2 2 2 3" xfId="1938" xr:uid="{00000000-0005-0000-0000-0000A10D0000}"/>
    <cellStyle name="Millares 45 2 2 2 4" xfId="3520" xr:uid="{00000000-0005-0000-0000-0000A20D0000}"/>
    <cellStyle name="Millares 45 2 2 3" xfId="2335" xr:uid="{00000000-0005-0000-0000-0000A30D0000}"/>
    <cellStyle name="Millares 45 2 2 3 2" xfId="3917" xr:uid="{00000000-0005-0000-0000-0000A40D0000}"/>
    <cellStyle name="Millares 45 2 2 4" xfId="1544" xr:uid="{00000000-0005-0000-0000-0000A50D0000}"/>
    <cellStyle name="Millares 45 2 2 5" xfId="3126" xr:uid="{00000000-0005-0000-0000-0000A60D0000}"/>
    <cellStyle name="Millares 45 2 3" xfId="925" xr:uid="{00000000-0005-0000-0000-0000A70D0000}"/>
    <cellStyle name="Millares 45 2 3 2" xfId="2508" xr:uid="{00000000-0005-0000-0000-0000A80D0000}"/>
    <cellStyle name="Millares 45 2 3 2 2" xfId="4090" xr:uid="{00000000-0005-0000-0000-0000A90D0000}"/>
    <cellStyle name="Millares 45 2 3 3" xfId="1717" xr:uid="{00000000-0005-0000-0000-0000AA0D0000}"/>
    <cellStyle name="Millares 45 2 3 4" xfId="3299" xr:uid="{00000000-0005-0000-0000-0000AB0D0000}"/>
    <cellStyle name="Millares 45 2 4" xfId="2114" xr:uid="{00000000-0005-0000-0000-0000AC0D0000}"/>
    <cellStyle name="Millares 45 2 4 2" xfId="3696" xr:uid="{00000000-0005-0000-0000-0000AD0D0000}"/>
    <cellStyle name="Millares 45 2 5" xfId="1323" xr:uid="{00000000-0005-0000-0000-0000AE0D0000}"/>
    <cellStyle name="Millares 45 2 6" xfId="2905" xr:uid="{00000000-0005-0000-0000-0000AF0D0000}"/>
    <cellStyle name="Millares 45 3" xfId="670" xr:uid="{00000000-0005-0000-0000-0000B00D0000}"/>
    <cellStyle name="Millares 45 3 2" xfId="1070" xr:uid="{00000000-0005-0000-0000-0000B10D0000}"/>
    <cellStyle name="Millares 45 3 2 2" xfId="2653" xr:uid="{00000000-0005-0000-0000-0000B20D0000}"/>
    <cellStyle name="Millares 45 3 2 2 2" xfId="4235" xr:uid="{00000000-0005-0000-0000-0000B30D0000}"/>
    <cellStyle name="Millares 45 3 2 3" xfId="1862" xr:uid="{00000000-0005-0000-0000-0000B40D0000}"/>
    <cellStyle name="Millares 45 3 2 4" xfId="3444" xr:uid="{00000000-0005-0000-0000-0000B50D0000}"/>
    <cellStyle name="Millares 45 3 3" xfId="2259" xr:uid="{00000000-0005-0000-0000-0000B60D0000}"/>
    <cellStyle name="Millares 45 3 3 2" xfId="3841" xr:uid="{00000000-0005-0000-0000-0000B70D0000}"/>
    <cellStyle name="Millares 45 3 4" xfId="1468" xr:uid="{00000000-0005-0000-0000-0000B80D0000}"/>
    <cellStyle name="Millares 45 3 5" xfId="3050" xr:uid="{00000000-0005-0000-0000-0000B90D0000}"/>
    <cellStyle name="Millares 45 4" xfId="849" xr:uid="{00000000-0005-0000-0000-0000BA0D0000}"/>
    <cellStyle name="Millares 45 4 2" xfId="2432" xr:uid="{00000000-0005-0000-0000-0000BB0D0000}"/>
    <cellStyle name="Millares 45 4 2 2" xfId="4014" xr:uid="{00000000-0005-0000-0000-0000BC0D0000}"/>
    <cellStyle name="Millares 45 4 3" xfId="1641" xr:uid="{00000000-0005-0000-0000-0000BD0D0000}"/>
    <cellStyle name="Millares 45 4 4" xfId="3223" xr:uid="{00000000-0005-0000-0000-0000BE0D0000}"/>
    <cellStyle name="Millares 45 5" xfId="2038" xr:uid="{00000000-0005-0000-0000-0000BF0D0000}"/>
    <cellStyle name="Millares 45 5 2" xfId="3620" xr:uid="{00000000-0005-0000-0000-0000C00D0000}"/>
    <cellStyle name="Millares 45 6" xfId="1247" xr:uid="{00000000-0005-0000-0000-0000C10D0000}"/>
    <cellStyle name="Millares 45 7" xfId="2829" xr:uid="{00000000-0005-0000-0000-0000C20D0000}"/>
    <cellStyle name="Millares 46" xfId="445" xr:uid="{00000000-0005-0000-0000-0000C30D0000}"/>
    <cellStyle name="Millares 46 2" xfId="673" xr:uid="{00000000-0005-0000-0000-0000C40D0000}"/>
    <cellStyle name="Millares 46 2 2" xfId="1073" xr:uid="{00000000-0005-0000-0000-0000C50D0000}"/>
    <cellStyle name="Millares 46 2 2 2" xfId="2656" xr:uid="{00000000-0005-0000-0000-0000C60D0000}"/>
    <cellStyle name="Millares 46 2 2 2 2" xfId="4238" xr:uid="{00000000-0005-0000-0000-0000C70D0000}"/>
    <cellStyle name="Millares 46 2 2 3" xfId="1865" xr:uid="{00000000-0005-0000-0000-0000C80D0000}"/>
    <cellStyle name="Millares 46 2 2 4" xfId="3447" xr:uid="{00000000-0005-0000-0000-0000C90D0000}"/>
    <cellStyle name="Millares 46 2 3" xfId="2262" xr:uid="{00000000-0005-0000-0000-0000CA0D0000}"/>
    <cellStyle name="Millares 46 2 3 2" xfId="3844" xr:uid="{00000000-0005-0000-0000-0000CB0D0000}"/>
    <cellStyle name="Millares 46 2 4" xfId="1471" xr:uid="{00000000-0005-0000-0000-0000CC0D0000}"/>
    <cellStyle name="Millares 46 2 5" xfId="3053" xr:uid="{00000000-0005-0000-0000-0000CD0D0000}"/>
    <cellStyle name="Millares 46 3" xfId="852" xr:uid="{00000000-0005-0000-0000-0000CE0D0000}"/>
    <cellStyle name="Millares 46 3 2" xfId="2435" xr:uid="{00000000-0005-0000-0000-0000CF0D0000}"/>
    <cellStyle name="Millares 46 3 2 2" xfId="4017" xr:uid="{00000000-0005-0000-0000-0000D00D0000}"/>
    <cellStyle name="Millares 46 3 3" xfId="1644" xr:uid="{00000000-0005-0000-0000-0000D10D0000}"/>
    <cellStyle name="Millares 46 3 4" xfId="3226" xr:uid="{00000000-0005-0000-0000-0000D20D0000}"/>
    <cellStyle name="Millares 46 4" xfId="2041" xr:uid="{00000000-0005-0000-0000-0000D30D0000}"/>
    <cellStyle name="Millares 46 4 2" xfId="3623" xr:uid="{00000000-0005-0000-0000-0000D40D0000}"/>
    <cellStyle name="Millares 46 5" xfId="1250" xr:uid="{00000000-0005-0000-0000-0000D50D0000}"/>
    <cellStyle name="Millares 46 6" xfId="2832" xr:uid="{00000000-0005-0000-0000-0000D60D0000}"/>
    <cellStyle name="Millares 47" xfId="521" xr:uid="{00000000-0005-0000-0000-0000D70D0000}"/>
    <cellStyle name="Millares 47 2" xfId="928" xr:uid="{00000000-0005-0000-0000-0000D80D0000}"/>
    <cellStyle name="Millares 47 2 2" xfId="2511" xr:uid="{00000000-0005-0000-0000-0000D90D0000}"/>
    <cellStyle name="Millares 47 2 2 2" xfId="4093" xr:uid="{00000000-0005-0000-0000-0000DA0D0000}"/>
    <cellStyle name="Millares 47 2 3" xfId="1720" xr:uid="{00000000-0005-0000-0000-0000DB0D0000}"/>
    <cellStyle name="Millares 47 2 4" xfId="3302" xr:uid="{00000000-0005-0000-0000-0000DC0D0000}"/>
    <cellStyle name="Millares 47 3" xfId="2117" xr:uid="{00000000-0005-0000-0000-0000DD0D0000}"/>
    <cellStyle name="Millares 47 3 2" xfId="3699" xr:uid="{00000000-0005-0000-0000-0000DE0D0000}"/>
    <cellStyle name="Millares 47 4" xfId="1326" xr:uid="{00000000-0005-0000-0000-0000DF0D0000}"/>
    <cellStyle name="Millares 47 5" xfId="2908" xr:uid="{00000000-0005-0000-0000-0000E00D0000}"/>
    <cellStyle name="Millares 48" xfId="523" xr:uid="{00000000-0005-0000-0000-0000E10D0000}"/>
    <cellStyle name="Millares 48 2" xfId="930" xr:uid="{00000000-0005-0000-0000-0000E20D0000}"/>
    <cellStyle name="Millares 48 2 2" xfId="2513" xr:uid="{00000000-0005-0000-0000-0000E30D0000}"/>
    <cellStyle name="Millares 48 2 2 2" xfId="4095" xr:uid="{00000000-0005-0000-0000-0000E40D0000}"/>
    <cellStyle name="Millares 48 2 3" xfId="1722" xr:uid="{00000000-0005-0000-0000-0000E50D0000}"/>
    <cellStyle name="Millares 48 2 4" xfId="3304" xr:uid="{00000000-0005-0000-0000-0000E60D0000}"/>
    <cellStyle name="Millares 48 3" xfId="2119" xr:uid="{00000000-0005-0000-0000-0000E70D0000}"/>
    <cellStyle name="Millares 48 3 2" xfId="3701" xr:uid="{00000000-0005-0000-0000-0000E80D0000}"/>
    <cellStyle name="Millares 48 4" xfId="1328" xr:uid="{00000000-0005-0000-0000-0000E90D0000}"/>
    <cellStyle name="Millares 48 5" xfId="2910" xr:uid="{00000000-0005-0000-0000-0000EA0D0000}"/>
    <cellStyle name="Millares 49" xfId="597" xr:uid="{00000000-0005-0000-0000-0000EB0D0000}"/>
    <cellStyle name="Millares 49 2" xfId="997" xr:uid="{00000000-0005-0000-0000-0000EC0D0000}"/>
    <cellStyle name="Millares 49 2 2" xfId="2580" xr:uid="{00000000-0005-0000-0000-0000ED0D0000}"/>
    <cellStyle name="Millares 49 2 2 2" xfId="4162" xr:uid="{00000000-0005-0000-0000-0000EE0D0000}"/>
    <cellStyle name="Millares 49 2 3" xfId="1789" xr:uid="{00000000-0005-0000-0000-0000EF0D0000}"/>
    <cellStyle name="Millares 49 2 4" xfId="3371" xr:uid="{00000000-0005-0000-0000-0000F00D0000}"/>
    <cellStyle name="Millares 49 3" xfId="2186" xr:uid="{00000000-0005-0000-0000-0000F10D0000}"/>
    <cellStyle name="Millares 49 3 2" xfId="3768" xr:uid="{00000000-0005-0000-0000-0000F20D0000}"/>
    <cellStyle name="Millares 49 4" xfId="1395" xr:uid="{00000000-0005-0000-0000-0000F30D0000}"/>
    <cellStyle name="Millares 49 5" xfId="2977" xr:uid="{00000000-0005-0000-0000-0000F40D0000}"/>
    <cellStyle name="Millares 5" xfId="299" xr:uid="{00000000-0005-0000-0000-0000F50D0000}"/>
    <cellStyle name="Millares 5 10" xfId="1180" xr:uid="{00000000-0005-0000-0000-0000F60D0000}"/>
    <cellStyle name="Millares 5 11" xfId="2762" xr:uid="{00000000-0005-0000-0000-0000F70D0000}"/>
    <cellStyle name="Millares 5 12" xfId="4596" xr:uid="{38F1DE25-1F93-4A83-88A3-96DFAAA9EA32}"/>
    <cellStyle name="Millares 5 13" xfId="4618" xr:uid="{8F4AF05E-DAD3-46F5-A726-7A2FAF53D1AB}"/>
    <cellStyle name="Millares 5 13 2" xfId="4995" xr:uid="{6E1308CD-291B-467B-A4B6-5134ECB506AA}"/>
    <cellStyle name="Millares 5 14" xfId="4890" xr:uid="{94B37093-C308-449A-8387-81E14BE784B2}"/>
    <cellStyle name="Millares 5 14 2" xfId="5175" xr:uid="{2F77B9BF-6A14-49F2-81E6-200A6D9BA5DE}"/>
    <cellStyle name="Millares 5 15" xfId="4376" xr:uid="{58039B45-CECD-43C2-AAEB-D3EC35EE80C3}"/>
    <cellStyle name="Millares 5 16" xfId="4900" xr:uid="{D0A84937-131D-4B78-9B9B-F44D7EB6F493}"/>
    <cellStyle name="Millares 5 2" xfId="318" xr:uid="{00000000-0005-0000-0000-0000F80D0000}"/>
    <cellStyle name="Millares 5 2 10" xfId="2775" xr:uid="{00000000-0005-0000-0000-0000F90D0000}"/>
    <cellStyle name="Millares 5 2 11" xfId="4597" xr:uid="{D031A20A-FBDB-4F01-A734-8D4546355D8B}"/>
    <cellStyle name="Millares 5 2 12" xfId="4645" xr:uid="{6180F8AE-5189-4584-8F11-0BF675A8E378}"/>
    <cellStyle name="Millares 5 2 12 2" xfId="5018" xr:uid="{FC1E8F20-A5DE-4322-8CE5-F05469353BE8}"/>
    <cellStyle name="Millares 5 2 13" xfId="4891" xr:uid="{15A51271-AF47-4495-BE43-FD92F5D8BE30}"/>
    <cellStyle name="Millares 5 2 13 2" xfId="5176" xr:uid="{1C2D2D2A-23AA-4A20-BE77-5A88F7A77797}"/>
    <cellStyle name="Millares 5 2 14" xfId="4411" xr:uid="{D976D03B-5709-4C5A-A8DF-DAE539B44207}"/>
    <cellStyle name="Millares 5 2 15" xfId="4907" xr:uid="{4DDA7035-42EA-4F18-B057-64B0BB87603A}"/>
    <cellStyle name="Millares 5 2 2" xfId="396" xr:uid="{00000000-0005-0000-0000-0000FA0D0000}"/>
    <cellStyle name="Millares 5 2 2 2" xfId="505" xr:uid="{00000000-0005-0000-0000-0000FB0D0000}"/>
    <cellStyle name="Millares 5 2 2 2 2" xfId="733" xr:uid="{00000000-0005-0000-0000-0000FC0D0000}"/>
    <cellStyle name="Millares 5 2 2 2 2 2" xfId="1133" xr:uid="{00000000-0005-0000-0000-0000FD0D0000}"/>
    <cellStyle name="Millares 5 2 2 2 2 2 2" xfId="2716" xr:uid="{00000000-0005-0000-0000-0000FE0D0000}"/>
    <cellStyle name="Millares 5 2 2 2 2 2 2 2" xfId="4298" xr:uid="{00000000-0005-0000-0000-0000FF0D0000}"/>
    <cellStyle name="Millares 5 2 2 2 2 2 3" xfId="1925" xr:uid="{00000000-0005-0000-0000-0000000E0000}"/>
    <cellStyle name="Millares 5 2 2 2 2 2 4" xfId="3507" xr:uid="{00000000-0005-0000-0000-0000010E0000}"/>
    <cellStyle name="Millares 5 2 2 2 2 3" xfId="2322" xr:uid="{00000000-0005-0000-0000-0000020E0000}"/>
    <cellStyle name="Millares 5 2 2 2 2 3 2" xfId="3904" xr:uid="{00000000-0005-0000-0000-0000030E0000}"/>
    <cellStyle name="Millares 5 2 2 2 2 4" xfId="1531" xr:uid="{00000000-0005-0000-0000-0000040E0000}"/>
    <cellStyle name="Millares 5 2 2 2 2 5" xfId="3113" xr:uid="{00000000-0005-0000-0000-0000050E0000}"/>
    <cellStyle name="Millares 5 2 2 2 3" xfId="912" xr:uid="{00000000-0005-0000-0000-0000060E0000}"/>
    <cellStyle name="Millares 5 2 2 2 3 2" xfId="2495" xr:uid="{00000000-0005-0000-0000-0000070E0000}"/>
    <cellStyle name="Millares 5 2 2 2 3 2 2" xfId="4077" xr:uid="{00000000-0005-0000-0000-0000080E0000}"/>
    <cellStyle name="Millares 5 2 2 2 3 3" xfId="1704" xr:uid="{00000000-0005-0000-0000-0000090E0000}"/>
    <cellStyle name="Millares 5 2 2 2 3 4" xfId="3286" xr:uid="{00000000-0005-0000-0000-00000A0E0000}"/>
    <cellStyle name="Millares 5 2 2 2 4" xfId="2101" xr:uid="{00000000-0005-0000-0000-00000B0E0000}"/>
    <cellStyle name="Millares 5 2 2 2 4 2" xfId="3683" xr:uid="{00000000-0005-0000-0000-00000C0E0000}"/>
    <cellStyle name="Millares 5 2 2 2 5" xfId="1310" xr:uid="{00000000-0005-0000-0000-00000D0E0000}"/>
    <cellStyle name="Millares 5 2 2 2 6" xfId="2892" xr:uid="{00000000-0005-0000-0000-00000E0E0000}"/>
    <cellStyle name="Millares 5 2 2 3" xfId="582" xr:uid="{00000000-0005-0000-0000-00000F0E0000}"/>
    <cellStyle name="Millares 5 2 2 3 2" xfId="989" xr:uid="{00000000-0005-0000-0000-0000100E0000}"/>
    <cellStyle name="Millares 5 2 2 3 2 2" xfId="2572" xr:uid="{00000000-0005-0000-0000-0000110E0000}"/>
    <cellStyle name="Millares 5 2 2 3 2 2 2" xfId="4154" xr:uid="{00000000-0005-0000-0000-0000120E0000}"/>
    <cellStyle name="Millares 5 2 2 3 2 3" xfId="1781" xr:uid="{00000000-0005-0000-0000-0000130E0000}"/>
    <cellStyle name="Millares 5 2 2 3 2 4" xfId="3363" xr:uid="{00000000-0005-0000-0000-0000140E0000}"/>
    <cellStyle name="Millares 5 2 2 3 3" xfId="2178" xr:uid="{00000000-0005-0000-0000-0000150E0000}"/>
    <cellStyle name="Millares 5 2 2 3 3 2" xfId="3760" xr:uid="{00000000-0005-0000-0000-0000160E0000}"/>
    <cellStyle name="Millares 5 2 2 3 4" xfId="1387" xr:uid="{00000000-0005-0000-0000-0000170E0000}"/>
    <cellStyle name="Millares 5 2 2 3 5" xfId="2969" xr:uid="{00000000-0005-0000-0000-0000180E0000}"/>
    <cellStyle name="Millares 5 2 2 4" xfId="657" xr:uid="{00000000-0005-0000-0000-0000190E0000}"/>
    <cellStyle name="Millares 5 2 2 4 2" xfId="1057" xr:uid="{00000000-0005-0000-0000-00001A0E0000}"/>
    <cellStyle name="Millares 5 2 2 4 2 2" xfId="2640" xr:uid="{00000000-0005-0000-0000-00001B0E0000}"/>
    <cellStyle name="Millares 5 2 2 4 2 2 2" xfId="4222" xr:uid="{00000000-0005-0000-0000-00001C0E0000}"/>
    <cellStyle name="Millares 5 2 2 4 2 3" xfId="1849" xr:uid="{00000000-0005-0000-0000-00001D0E0000}"/>
    <cellStyle name="Millares 5 2 2 4 2 4" xfId="3431" xr:uid="{00000000-0005-0000-0000-00001E0E0000}"/>
    <cellStyle name="Millares 5 2 2 4 3" xfId="2246" xr:uid="{00000000-0005-0000-0000-00001F0E0000}"/>
    <cellStyle name="Millares 5 2 2 4 3 2" xfId="3828" xr:uid="{00000000-0005-0000-0000-0000200E0000}"/>
    <cellStyle name="Millares 5 2 2 4 4" xfId="1455" xr:uid="{00000000-0005-0000-0000-0000210E0000}"/>
    <cellStyle name="Millares 5 2 2 4 5" xfId="3037" xr:uid="{00000000-0005-0000-0000-0000220E0000}"/>
    <cellStyle name="Millares 5 2 2 5" xfId="836" xr:uid="{00000000-0005-0000-0000-0000230E0000}"/>
    <cellStyle name="Millares 5 2 2 5 2" xfId="2419" xr:uid="{00000000-0005-0000-0000-0000240E0000}"/>
    <cellStyle name="Millares 5 2 2 5 2 2" xfId="4001" xr:uid="{00000000-0005-0000-0000-0000250E0000}"/>
    <cellStyle name="Millares 5 2 2 5 3" xfId="1628" xr:uid="{00000000-0005-0000-0000-0000260E0000}"/>
    <cellStyle name="Millares 5 2 2 5 4" xfId="3210" xr:uid="{00000000-0005-0000-0000-0000270E0000}"/>
    <cellStyle name="Millares 5 2 2 6" xfId="2025" xr:uid="{00000000-0005-0000-0000-0000280E0000}"/>
    <cellStyle name="Millares 5 2 2 6 2" xfId="3607" xr:uid="{00000000-0005-0000-0000-0000290E0000}"/>
    <cellStyle name="Millares 5 2 2 7" xfId="1234" xr:uid="{00000000-0005-0000-0000-00002A0E0000}"/>
    <cellStyle name="Millares 5 2 2 8" xfId="2816" xr:uid="{00000000-0005-0000-0000-00002B0E0000}"/>
    <cellStyle name="Millares 5 2 3" xfId="464" xr:uid="{00000000-0005-0000-0000-00002C0E0000}"/>
    <cellStyle name="Millares 5 2 3 2" xfId="692" xr:uid="{00000000-0005-0000-0000-00002D0E0000}"/>
    <cellStyle name="Millares 5 2 3 2 2" xfId="1092" xr:uid="{00000000-0005-0000-0000-00002E0E0000}"/>
    <cellStyle name="Millares 5 2 3 2 2 2" xfId="2675" xr:uid="{00000000-0005-0000-0000-00002F0E0000}"/>
    <cellStyle name="Millares 5 2 3 2 2 2 2" xfId="4257" xr:uid="{00000000-0005-0000-0000-0000300E0000}"/>
    <cellStyle name="Millares 5 2 3 2 2 3" xfId="1884" xr:uid="{00000000-0005-0000-0000-0000310E0000}"/>
    <cellStyle name="Millares 5 2 3 2 2 4" xfId="3466" xr:uid="{00000000-0005-0000-0000-0000320E0000}"/>
    <cellStyle name="Millares 5 2 3 2 3" xfId="2281" xr:uid="{00000000-0005-0000-0000-0000330E0000}"/>
    <cellStyle name="Millares 5 2 3 2 3 2" xfId="3863" xr:uid="{00000000-0005-0000-0000-0000340E0000}"/>
    <cellStyle name="Millares 5 2 3 2 4" xfId="1490" xr:uid="{00000000-0005-0000-0000-0000350E0000}"/>
    <cellStyle name="Millares 5 2 3 2 5" xfId="3072" xr:uid="{00000000-0005-0000-0000-0000360E0000}"/>
    <cellStyle name="Millares 5 2 3 3" xfId="871" xr:uid="{00000000-0005-0000-0000-0000370E0000}"/>
    <cellStyle name="Millares 5 2 3 3 2" xfId="2454" xr:uid="{00000000-0005-0000-0000-0000380E0000}"/>
    <cellStyle name="Millares 5 2 3 3 2 2" xfId="4036" xr:uid="{00000000-0005-0000-0000-0000390E0000}"/>
    <cellStyle name="Millares 5 2 3 3 3" xfId="1663" xr:uid="{00000000-0005-0000-0000-00003A0E0000}"/>
    <cellStyle name="Millares 5 2 3 3 4" xfId="3245" xr:uid="{00000000-0005-0000-0000-00003B0E0000}"/>
    <cellStyle name="Millares 5 2 3 4" xfId="2060" xr:uid="{00000000-0005-0000-0000-00003C0E0000}"/>
    <cellStyle name="Millares 5 2 3 4 2" xfId="3642" xr:uid="{00000000-0005-0000-0000-00003D0E0000}"/>
    <cellStyle name="Millares 5 2 3 5" xfId="1269" xr:uid="{00000000-0005-0000-0000-00003E0E0000}"/>
    <cellStyle name="Millares 5 2 3 6" xfId="2851" xr:uid="{00000000-0005-0000-0000-00003F0E0000}"/>
    <cellStyle name="Millares 5 2 4" xfId="541" xr:uid="{00000000-0005-0000-0000-0000400E0000}"/>
    <cellStyle name="Millares 5 2 4 2" xfId="948" xr:uid="{00000000-0005-0000-0000-0000410E0000}"/>
    <cellStyle name="Millares 5 2 4 2 2" xfId="2531" xr:uid="{00000000-0005-0000-0000-0000420E0000}"/>
    <cellStyle name="Millares 5 2 4 2 2 2" xfId="4113" xr:uid="{00000000-0005-0000-0000-0000430E0000}"/>
    <cellStyle name="Millares 5 2 4 2 3" xfId="1740" xr:uid="{00000000-0005-0000-0000-0000440E0000}"/>
    <cellStyle name="Millares 5 2 4 2 4" xfId="3322" xr:uid="{00000000-0005-0000-0000-0000450E0000}"/>
    <cellStyle name="Millares 5 2 4 3" xfId="2137" xr:uid="{00000000-0005-0000-0000-0000460E0000}"/>
    <cellStyle name="Millares 5 2 4 3 2" xfId="3719" xr:uid="{00000000-0005-0000-0000-0000470E0000}"/>
    <cellStyle name="Millares 5 2 4 4" xfId="1346" xr:uid="{00000000-0005-0000-0000-0000480E0000}"/>
    <cellStyle name="Millares 5 2 4 5" xfId="2928" xr:uid="{00000000-0005-0000-0000-0000490E0000}"/>
    <cellStyle name="Millares 5 2 5" xfId="616" xr:uid="{00000000-0005-0000-0000-00004A0E0000}"/>
    <cellStyle name="Millares 5 2 5 2" xfId="1016" xr:uid="{00000000-0005-0000-0000-00004B0E0000}"/>
    <cellStyle name="Millares 5 2 5 2 2" xfId="2599" xr:uid="{00000000-0005-0000-0000-00004C0E0000}"/>
    <cellStyle name="Millares 5 2 5 2 2 2" xfId="4181" xr:uid="{00000000-0005-0000-0000-00004D0E0000}"/>
    <cellStyle name="Millares 5 2 5 2 3" xfId="1808" xr:uid="{00000000-0005-0000-0000-00004E0E0000}"/>
    <cellStyle name="Millares 5 2 5 2 4" xfId="3390" xr:uid="{00000000-0005-0000-0000-00004F0E0000}"/>
    <cellStyle name="Millares 5 2 5 3" xfId="2205" xr:uid="{00000000-0005-0000-0000-0000500E0000}"/>
    <cellStyle name="Millares 5 2 5 3 2" xfId="3787" xr:uid="{00000000-0005-0000-0000-0000510E0000}"/>
    <cellStyle name="Millares 5 2 5 4" xfId="1414" xr:uid="{00000000-0005-0000-0000-0000520E0000}"/>
    <cellStyle name="Millares 5 2 5 5" xfId="2996" xr:uid="{00000000-0005-0000-0000-0000530E0000}"/>
    <cellStyle name="Millares 5 2 6" xfId="768" xr:uid="{00000000-0005-0000-0000-0000540E0000}"/>
    <cellStyle name="Millares 5 2 6 2" xfId="1168" xr:uid="{00000000-0005-0000-0000-0000550E0000}"/>
    <cellStyle name="Millares 5 2 6 2 2" xfId="2751" xr:uid="{00000000-0005-0000-0000-0000560E0000}"/>
    <cellStyle name="Millares 5 2 6 2 2 2" xfId="4333" xr:uid="{00000000-0005-0000-0000-0000570E0000}"/>
    <cellStyle name="Millares 5 2 6 2 3" xfId="1960" xr:uid="{00000000-0005-0000-0000-0000580E0000}"/>
    <cellStyle name="Millares 5 2 6 2 4" xfId="3542" xr:uid="{00000000-0005-0000-0000-0000590E0000}"/>
    <cellStyle name="Millares 5 2 6 3" xfId="2357" xr:uid="{00000000-0005-0000-0000-00005A0E0000}"/>
    <cellStyle name="Millares 5 2 6 3 2" xfId="3939" xr:uid="{00000000-0005-0000-0000-00005B0E0000}"/>
    <cellStyle name="Millares 5 2 6 4" xfId="1566" xr:uid="{00000000-0005-0000-0000-00005C0E0000}"/>
    <cellStyle name="Millares 5 2 6 5" xfId="3148" xr:uid="{00000000-0005-0000-0000-00005D0E0000}"/>
    <cellStyle name="Millares 5 2 7" xfId="795" xr:uid="{00000000-0005-0000-0000-00005E0E0000}"/>
    <cellStyle name="Millares 5 2 7 2" xfId="2378" xr:uid="{00000000-0005-0000-0000-00005F0E0000}"/>
    <cellStyle name="Millares 5 2 7 2 2" xfId="3960" xr:uid="{00000000-0005-0000-0000-0000600E0000}"/>
    <cellStyle name="Millares 5 2 7 3" xfId="1587" xr:uid="{00000000-0005-0000-0000-0000610E0000}"/>
    <cellStyle name="Millares 5 2 7 4" xfId="3169" xr:uid="{00000000-0005-0000-0000-0000620E0000}"/>
    <cellStyle name="Millares 5 2 8" xfId="1984" xr:uid="{00000000-0005-0000-0000-0000630E0000}"/>
    <cellStyle name="Millares 5 2 8 2" xfId="3566" xr:uid="{00000000-0005-0000-0000-0000640E0000}"/>
    <cellStyle name="Millares 5 2 9" xfId="1193" xr:uid="{00000000-0005-0000-0000-0000650E0000}"/>
    <cellStyle name="Millares 5 3" xfId="377" xr:uid="{00000000-0005-0000-0000-0000660E0000}"/>
    <cellStyle name="Millares 5 3 2" xfId="492" xr:uid="{00000000-0005-0000-0000-0000670E0000}"/>
    <cellStyle name="Millares 5 3 2 2" xfId="720" xr:uid="{00000000-0005-0000-0000-0000680E0000}"/>
    <cellStyle name="Millares 5 3 2 2 2" xfId="1120" xr:uid="{00000000-0005-0000-0000-0000690E0000}"/>
    <cellStyle name="Millares 5 3 2 2 2 2" xfId="2703" xr:uid="{00000000-0005-0000-0000-00006A0E0000}"/>
    <cellStyle name="Millares 5 3 2 2 2 2 2" xfId="4285" xr:uid="{00000000-0005-0000-0000-00006B0E0000}"/>
    <cellStyle name="Millares 5 3 2 2 2 3" xfId="1912" xr:uid="{00000000-0005-0000-0000-00006C0E0000}"/>
    <cellStyle name="Millares 5 3 2 2 2 4" xfId="3494" xr:uid="{00000000-0005-0000-0000-00006D0E0000}"/>
    <cellStyle name="Millares 5 3 2 2 3" xfId="2309" xr:uid="{00000000-0005-0000-0000-00006E0E0000}"/>
    <cellStyle name="Millares 5 3 2 2 3 2" xfId="3891" xr:uid="{00000000-0005-0000-0000-00006F0E0000}"/>
    <cellStyle name="Millares 5 3 2 2 4" xfId="1518" xr:uid="{00000000-0005-0000-0000-0000700E0000}"/>
    <cellStyle name="Millares 5 3 2 2 5" xfId="3100" xr:uid="{00000000-0005-0000-0000-0000710E0000}"/>
    <cellStyle name="Millares 5 3 2 3" xfId="899" xr:uid="{00000000-0005-0000-0000-0000720E0000}"/>
    <cellStyle name="Millares 5 3 2 3 2" xfId="2482" xr:uid="{00000000-0005-0000-0000-0000730E0000}"/>
    <cellStyle name="Millares 5 3 2 3 2 2" xfId="4064" xr:uid="{00000000-0005-0000-0000-0000740E0000}"/>
    <cellStyle name="Millares 5 3 2 3 3" xfId="1691" xr:uid="{00000000-0005-0000-0000-0000750E0000}"/>
    <cellStyle name="Millares 5 3 2 3 4" xfId="3273" xr:uid="{00000000-0005-0000-0000-0000760E0000}"/>
    <cellStyle name="Millares 5 3 2 4" xfId="2088" xr:uid="{00000000-0005-0000-0000-0000770E0000}"/>
    <cellStyle name="Millares 5 3 2 4 2" xfId="3670" xr:uid="{00000000-0005-0000-0000-0000780E0000}"/>
    <cellStyle name="Millares 5 3 2 5" xfId="1297" xr:uid="{00000000-0005-0000-0000-0000790E0000}"/>
    <cellStyle name="Millares 5 3 2 6" xfId="2879" xr:uid="{00000000-0005-0000-0000-00007A0E0000}"/>
    <cellStyle name="Millares 5 3 3" xfId="569" xr:uid="{00000000-0005-0000-0000-00007B0E0000}"/>
    <cellStyle name="Millares 5 3 3 2" xfId="976" xr:uid="{00000000-0005-0000-0000-00007C0E0000}"/>
    <cellStyle name="Millares 5 3 3 2 2" xfId="2559" xr:uid="{00000000-0005-0000-0000-00007D0E0000}"/>
    <cellStyle name="Millares 5 3 3 2 2 2" xfId="4141" xr:uid="{00000000-0005-0000-0000-00007E0E0000}"/>
    <cellStyle name="Millares 5 3 3 2 3" xfId="1768" xr:uid="{00000000-0005-0000-0000-00007F0E0000}"/>
    <cellStyle name="Millares 5 3 3 2 4" xfId="3350" xr:uid="{00000000-0005-0000-0000-0000800E0000}"/>
    <cellStyle name="Millares 5 3 3 3" xfId="2165" xr:uid="{00000000-0005-0000-0000-0000810E0000}"/>
    <cellStyle name="Millares 5 3 3 3 2" xfId="3747" xr:uid="{00000000-0005-0000-0000-0000820E0000}"/>
    <cellStyle name="Millares 5 3 3 4" xfId="1374" xr:uid="{00000000-0005-0000-0000-0000830E0000}"/>
    <cellStyle name="Millares 5 3 3 5" xfId="2956" xr:uid="{00000000-0005-0000-0000-0000840E0000}"/>
    <cellStyle name="Millares 5 3 4" xfId="644" xr:uid="{00000000-0005-0000-0000-0000850E0000}"/>
    <cellStyle name="Millares 5 3 4 2" xfId="1044" xr:uid="{00000000-0005-0000-0000-0000860E0000}"/>
    <cellStyle name="Millares 5 3 4 2 2" xfId="2627" xr:uid="{00000000-0005-0000-0000-0000870E0000}"/>
    <cellStyle name="Millares 5 3 4 2 2 2" xfId="4209" xr:uid="{00000000-0005-0000-0000-0000880E0000}"/>
    <cellStyle name="Millares 5 3 4 2 3" xfId="1836" xr:uid="{00000000-0005-0000-0000-0000890E0000}"/>
    <cellStyle name="Millares 5 3 4 2 4" xfId="3418" xr:uid="{00000000-0005-0000-0000-00008A0E0000}"/>
    <cellStyle name="Millares 5 3 4 3" xfId="2233" xr:uid="{00000000-0005-0000-0000-00008B0E0000}"/>
    <cellStyle name="Millares 5 3 4 3 2" xfId="3815" xr:uid="{00000000-0005-0000-0000-00008C0E0000}"/>
    <cellStyle name="Millares 5 3 4 4" xfId="1442" xr:uid="{00000000-0005-0000-0000-00008D0E0000}"/>
    <cellStyle name="Millares 5 3 4 5" xfId="3024" xr:uid="{00000000-0005-0000-0000-00008E0E0000}"/>
    <cellStyle name="Millares 5 3 5" xfId="823" xr:uid="{00000000-0005-0000-0000-00008F0E0000}"/>
    <cellStyle name="Millares 5 3 5 2" xfId="2406" xr:uid="{00000000-0005-0000-0000-0000900E0000}"/>
    <cellStyle name="Millares 5 3 5 2 2" xfId="3988" xr:uid="{00000000-0005-0000-0000-0000910E0000}"/>
    <cellStyle name="Millares 5 3 5 3" xfId="1615" xr:uid="{00000000-0005-0000-0000-0000920E0000}"/>
    <cellStyle name="Millares 5 3 5 4" xfId="3197" xr:uid="{00000000-0005-0000-0000-0000930E0000}"/>
    <cellStyle name="Millares 5 3 6" xfId="2012" xr:uid="{00000000-0005-0000-0000-0000940E0000}"/>
    <cellStyle name="Millares 5 3 6 2" xfId="3594" xr:uid="{00000000-0005-0000-0000-0000950E0000}"/>
    <cellStyle name="Millares 5 3 7" xfId="1221" xr:uid="{00000000-0005-0000-0000-0000960E0000}"/>
    <cellStyle name="Millares 5 3 8" xfId="2803" xr:uid="{00000000-0005-0000-0000-0000970E0000}"/>
    <cellStyle name="Millares 5 4" xfId="451" xr:uid="{00000000-0005-0000-0000-0000980E0000}"/>
    <cellStyle name="Millares 5 4 2" xfId="679" xr:uid="{00000000-0005-0000-0000-0000990E0000}"/>
    <cellStyle name="Millares 5 4 2 2" xfId="1079" xr:uid="{00000000-0005-0000-0000-00009A0E0000}"/>
    <cellStyle name="Millares 5 4 2 2 2" xfId="2662" xr:uid="{00000000-0005-0000-0000-00009B0E0000}"/>
    <cellStyle name="Millares 5 4 2 2 2 2" xfId="4244" xr:uid="{00000000-0005-0000-0000-00009C0E0000}"/>
    <cellStyle name="Millares 5 4 2 2 3" xfId="1871" xr:uid="{00000000-0005-0000-0000-00009D0E0000}"/>
    <cellStyle name="Millares 5 4 2 2 4" xfId="3453" xr:uid="{00000000-0005-0000-0000-00009E0E0000}"/>
    <cellStyle name="Millares 5 4 2 3" xfId="2268" xr:uid="{00000000-0005-0000-0000-00009F0E0000}"/>
    <cellStyle name="Millares 5 4 2 3 2" xfId="3850" xr:uid="{00000000-0005-0000-0000-0000A00E0000}"/>
    <cellStyle name="Millares 5 4 2 4" xfId="1477" xr:uid="{00000000-0005-0000-0000-0000A10E0000}"/>
    <cellStyle name="Millares 5 4 2 5" xfId="3059" xr:uid="{00000000-0005-0000-0000-0000A20E0000}"/>
    <cellStyle name="Millares 5 4 3" xfId="858" xr:uid="{00000000-0005-0000-0000-0000A30E0000}"/>
    <cellStyle name="Millares 5 4 3 2" xfId="2441" xr:uid="{00000000-0005-0000-0000-0000A40E0000}"/>
    <cellStyle name="Millares 5 4 3 2 2" xfId="4023" xr:uid="{00000000-0005-0000-0000-0000A50E0000}"/>
    <cellStyle name="Millares 5 4 3 3" xfId="1650" xr:uid="{00000000-0005-0000-0000-0000A60E0000}"/>
    <cellStyle name="Millares 5 4 3 4" xfId="3232" xr:uid="{00000000-0005-0000-0000-0000A70E0000}"/>
    <cellStyle name="Millares 5 4 4" xfId="2047" xr:uid="{00000000-0005-0000-0000-0000A80E0000}"/>
    <cellStyle name="Millares 5 4 4 2" xfId="3629" xr:uid="{00000000-0005-0000-0000-0000A90E0000}"/>
    <cellStyle name="Millares 5 4 5" xfId="1256" xr:uid="{00000000-0005-0000-0000-0000AA0E0000}"/>
    <cellStyle name="Millares 5 4 6" xfId="2838" xr:uid="{00000000-0005-0000-0000-0000AB0E0000}"/>
    <cellStyle name="Millares 5 5" xfId="528" xr:uid="{00000000-0005-0000-0000-0000AC0E0000}"/>
    <cellStyle name="Millares 5 5 2" xfId="935" xr:uid="{00000000-0005-0000-0000-0000AD0E0000}"/>
    <cellStyle name="Millares 5 5 2 2" xfId="2518" xr:uid="{00000000-0005-0000-0000-0000AE0E0000}"/>
    <cellStyle name="Millares 5 5 2 2 2" xfId="4100" xr:uid="{00000000-0005-0000-0000-0000AF0E0000}"/>
    <cellStyle name="Millares 5 5 2 3" xfId="1727" xr:uid="{00000000-0005-0000-0000-0000B00E0000}"/>
    <cellStyle name="Millares 5 5 2 4" xfId="3309" xr:uid="{00000000-0005-0000-0000-0000B10E0000}"/>
    <cellStyle name="Millares 5 5 3" xfId="2124" xr:uid="{00000000-0005-0000-0000-0000B20E0000}"/>
    <cellStyle name="Millares 5 5 3 2" xfId="3706" xr:uid="{00000000-0005-0000-0000-0000B30E0000}"/>
    <cellStyle name="Millares 5 5 4" xfId="1333" xr:uid="{00000000-0005-0000-0000-0000B40E0000}"/>
    <cellStyle name="Millares 5 5 5" xfId="2915" xr:uid="{00000000-0005-0000-0000-0000B50E0000}"/>
    <cellStyle name="Millares 5 6" xfId="603" xr:uid="{00000000-0005-0000-0000-0000B60E0000}"/>
    <cellStyle name="Millares 5 6 2" xfId="1003" xr:uid="{00000000-0005-0000-0000-0000B70E0000}"/>
    <cellStyle name="Millares 5 6 2 2" xfId="2586" xr:uid="{00000000-0005-0000-0000-0000B80E0000}"/>
    <cellStyle name="Millares 5 6 2 2 2" xfId="4168" xr:uid="{00000000-0005-0000-0000-0000B90E0000}"/>
    <cellStyle name="Millares 5 6 2 3" xfId="1795" xr:uid="{00000000-0005-0000-0000-0000BA0E0000}"/>
    <cellStyle name="Millares 5 6 2 4" xfId="3377" xr:uid="{00000000-0005-0000-0000-0000BB0E0000}"/>
    <cellStyle name="Millares 5 6 3" xfId="2192" xr:uid="{00000000-0005-0000-0000-0000BC0E0000}"/>
    <cellStyle name="Millares 5 6 3 2" xfId="3774" xr:uid="{00000000-0005-0000-0000-0000BD0E0000}"/>
    <cellStyle name="Millares 5 6 4" xfId="1401" xr:uid="{00000000-0005-0000-0000-0000BE0E0000}"/>
    <cellStyle name="Millares 5 6 5" xfId="2983" xr:uid="{00000000-0005-0000-0000-0000BF0E0000}"/>
    <cellStyle name="Millares 5 7" xfId="755" xr:uid="{00000000-0005-0000-0000-0000C00E0000}"/>
    <cellStyle name="Millares 5 7 2" xfId="1155" xr:uid="{00000000-0005-0000-0000-0000C10E0000}"/>
    <cellStyle name="Millares 5 7 2 2" xfId="2738" xr:uid="{00000000-0005-0000-0000-0000C20E0000}"/>
    <cellStyle name="Millares 5 7 2 2 2" xfId="4320" xr:uid="{00000000-0005-0000-0000-0000C30E0000}"/>
    <cellStyle name="Millares 5 7 2 3" xfId="1947" xr:uid="{00000000-0005-0000-0000-0000C40E0000}"/>
    <cellStyle name="Millares 5 7 2 4" xfId="3529" xr:uid="{00000000-0005-0000-0000-0000C50E0000}"/>
    <cellStyle name="Millares 5 7 3" xfId="2344" xr:uid="{00000000-0005-0000-0000-0000C60E0000}"/>
    <cellStyle name="Millares 5 7 3 2" xfId="3926" xr:uid="{00000000-0005-0000-0000-0000C70E0000}"/>
    <cellStyle name="Millares 5 7 4" xfId="1553" xr:uid="{00000000-0005-0000-0000-0000C80E0000}"/>
    <cellStyle name="Millares 5 7 5" xfId="3135" xr:uid="{00000000-0005-0000-0000-0000C90E0000}"/>
    <cellStyle name="Millares 5 8" xfId="782" xr:uid="{00000000-0005-0000-0000-0000CA0E0000}"/>
    <cellStyle name="Millares 5 8 2" xfId="2365" xr:uid="{00000000-0005-0000-0000-0000CB0E0000}"/>
    <cellStyle name="Millares 5 8 2 2" xfId="3947" xr:uid="{00000000-0005-0000-0000-0000CC0E0000}"/>
    <cellStyle name="Millares 5 8 3" xfId="1574" xr:uid="{00000000-0005-0000-0000-0000CD0E0000}"/>
    <cellStyle name="Millares 5 8 4" xfId="3156" xr:uid="{00000000-0005-0000-0000-0000CE0E0000}"/>
    <cellStyle name="Millares 5 9" xfId="1971" xr:uid="{00000000-0005-0000-0000-0000CF0E0000}"/>
    <cellStyle name="Millares 5 9 2" xfId="3553" xr:uid="{00000000-0005-0000-0000-0000D00E0000}"/>
    <cellStyle name="Millares 50" xfId="749" xr:uid="{00000000-0005-0000-0000-0000D10E0000}"/>
    <cellStyle name="Millares 50 2" xfId="1149" xr:uid="{00000000-0005-0000-0000-0000D20E0000}"/>
    <cellStyle name="Millares 50 2 2" xfId="2732" xr:uid="{00000000-0005-0000-0000-0000D30E0000}"/>
    <cellStyle name="Millares 50 2 2 2" xfId="4314" xr:uid="{00000000-0005-0000-0000-0000D40E0000}"/>
    <cellStyle name="Millares 50 2 3" xfId="1941" xr:uid="{00000000-0005-0000-0000-0000D50E0000}"/>
    <cellStyle name="Millares 50 2 4" xfId="3523" xr:uid="{00000000-0005-0000-0000-0000D60E0000}"/>
    <cellStyle name="Millares 50 3" xfId="2338" xr:uid="{00000000-0005-0000-0000-0000D70E0000}"/>
    <cellStyle name="Millares 50 3 2" xfId="3920" xr:uid="{00000000-0005-0000-0000-0000D80E0000}"/>
    <cellStyle name="Millares 50 4" xfId="1547" xr:uid="{00000000-0005-0000-0000-0000D90E0000}"/>
    <cellStyle name="Millares 50 5" xfId="3129" xr:uid="{00000000-0005-0000-0000-0000DA0E0000}"/>
    <cellStyle name="Millares 51" xfId="770" xr:uid="{00000000-0005-0000-0000-0000DB0E0000}"/>
    <cellStyle name="Millares 51 2" xfId="2359" xr:uid="{00000000-0005-0000-0000-0000DC0E0000}"/>
    <cellStyle name="Millares 51 2 2" xfId="3941" xr:uid="{00000000-0005-0000-0000-0000DD0E0000}"/>
    <cellStyle name="Millares 51 3" xfId="1568" xr:uid="{00000000-0005-0000-0000-0000DE0E0000}"/>
    <cellStyle name="Millares 51 4" xfId="3150" xr:uid="{00000000-0005-0000-0000-0000DF0E0000}"/>
    <cellStyle name="Millares 52" xfId="1170" xr:uid="{00000000-0005-0000-0000-0000E00E0000}"/>
    <cellStyle name="Millares 52 2" xfId="2753" xr:uid="{00000000-0005-0000-0000-0000E10E0000}"/>
    <cellStyle name="Millares 52 2 2" xfId="4335" xr:uid="{00000000-0005-0000-0000-0000E20E0000}"/>
    <cellStyle name="Millares 52 3" xfId="1962" xr:uid="{00000000-0005-0000-0000-0000E30E0000}"/>
    <cellStyle name="Millares 52 4" xfId="3544" xr:uid="{00000000-0005-0000-0000-0000E40E0000}"/>
    <cellStyle name="Millares 53" xfId="1172" xr:uid="{00000000-0005-0000-0000-0000E50E0000}"/>
    <cellStyle name="Millares 53 2" xfId="2754" xr:uid="{00000000-0005-0000-0000-0000E60E0000}"/>
    <cellStyle name="Millares 53 2 2" xfId="4336" xr:uid="{00000000-0005-0000-0000-0000E70E0000}"/>
    <cellStyle name="Millares 53 3" xfId="1963" xr:uid="{00000000-0005-0000-0000-0000E80E0000}"/>
    <cellStyle name="Millares 53 4" xfId="3545" xr:uid="{00000000-0005-0000-0000-0000E90E0000}"/>
    <cellStyle name="Millares 54" xfId="1964" xr:uid="{00000000-0005-0000-0000-0000EA0E0000}"/>
    <cellStyle name="Millares 54 2" xfId="3546" xr:uid="{00000000-0005-0000-0000-0000EB0E0000}"/>
    <cellStyle name="Millares 55" xfId="1966" xr:uid="{00000000-0005-0000-0000-0000EC0E0000}"/>
    <cellStyle name="Millares 55 2" xfId="3548" xr:uid="{00000000-0005-0000-0000-0000ED0E0000}"/>
    <cellStyle name="Millares 56" xfId="1174" xr:uid="{00000000-0005-0000-0000-0000EE0E0000}"/>
    <cellStyle name="Millares 57" xfId="2755" xr:uid="{00000000-0005-0000-0000-0000EF0E0000}"/>
    <cellStyle name="Millares 58" xfId="2757" xr:uid="{00000000-0005-0000-0000-0000F00E0000}"/>
    <cellStyle name="Millares 59" xfId="4338" xr:uid="{00000000-0005-0000-0000-0000F10E0000}"/>
    <cellStyle name="Millares 6" xfId="302" xr:uid="{00000000-0005-0000-0000-0000F20E0000}"/>
    <cellStyle name="Millares 6 10" xfId="2765" xr:uid="{00000000-0005-0000-0000-0000F30E0000}"/>
    <cellStyle name="Millares 6 11" xfId="4598" xr:uid="{EE36D0AC-7E3A-4170-996D-A217C6786C16}"/>
    <cellStyle name="Millares 6 12" xfId="4627" xr:uid="{FCD04B3B-BF41-4CFD-8751-A0F1E30AB068}"/>
    <cellStyle name="Millares 6 12 2" xfId="5003" xr:uid="{72FE29C8-6D41-4E21-9197-A57C7DD652C4}"/>
    <cellStyle name="Millares 6 13" xfId="4892" xr:uid="{070D39B2-29F7-4C43-9EDD-A6B65AFB7175}"/>
    <cellStyle name="Millares 6 13 2" xfId="5177" xr:uid="{71E834A3-683D-46A2-A099-E706F86EBE3E}"/>
    <cellStyle name="Millares 6 14" xfId="4390" xr:uid="{53D2B91A-53F6-4429-82AD-7A2334CBCAB8}"/>
    <cellStyle name="Millares 6 15" xfId="4905" xr:uid="{4A29CFE4-4ED2-4AF6-A03C-159F568FC12E}"/>
    <cellStyle name="Millares 6 2" xfId="380" xr:uid="{00000000-0005-0000-0000-0000F40E0000}"/>
    <cellStyle name="Millares 6 2 2" xfId="495" xr:uid="{00000000-0005-0000-0000-0000F50E0000}"/>
    <cellStyle name="Millares 6 2 2 2" xfId="723" xr:uid="{00000000-0005-0000-0000-0000F60E0000}"/>
    <cellStyle name="Millares 6 2 2 2 2" xfId="1123" xr:uid="{00000000-0005-0000-0000-0000F70E0000}"/>
    <cellStyle name="Millares 6 2 2 2 2 2" xfId="2706" xr:uid="{00000000-0005-0000-0000-0000F80E0000}"/>
    <cellStyle name="Millares 6 2 2 2 2 2 2" xfId="4288" xr:uid="{00000000-0005-0000-0000-0000F90E0000}"/>
    <cellStyle name="Millares 6 2 2 2 2 3" xfId="1915" xr:uid="{00000000-0005-0000-0000-0000FA0E0000}"/>
    <cellStyle name="Millares 6 2 2 2 2 4" xfId="3497" xr:uid="{00000000-0005-0000-0000-0000FB0E0000}"/>
    <cellStyle name="Millares 6 2 2 2 3" xfId="2312" xr:uid="{00000000-0005-0000-0000-0000FC0E0000}"/>
    <cellStyle name="Millares 6 2 2 2 3 2" xfId="3894" xr:uid="{00000000-0005-0000-0000-0000FD0E0000}"/>
    <cellStyle name="Millares 6 2 2 2 4" xfId="1521" xr:uid="{00000000-0005-0000-0000-0000FE0E0000}"/>
    <cellStyle name="Millares 6 2 2 2 5" xfId="3103" xr:uid="{00000000-0005-0000-0000-0000FF0E0000}"/>
    <cellStyle name="Millares 6 2 2 3" xfId="902" xr:uid="{00000000-0005-0000-0000-0000000F0000}"/>
    <cellStyle name="Millares 6 2 2 3 2" xfId="2485" xr:uid="{00000000-0005-0000-0000-0000010F0000}"/>
    <cellStyle name="Millares 6 2 2 3 2 2" xfId="4067" xr:uid="{00000000-0005-0000-0000-0000020F0000}"/>
    <cellStyle name="Millares 6 2 2 3 3" xfId="1694" xr:uid="{00000000-0005-0000-0000-0000030F0000}"/>
    <cellStyle name="Millares 6 2 2 3 4" xfId="3276" xr:uid="{00000000-0005-0000-0000-0000040F0000}"/>
    <cellStyle name="Millares 6 2 2 4" xfId="2091" xr:uid="{00000000-0005-0000-0000-0000050F0000}"/>
    <cellStyle name="Millares 6 2 2 4 2" xfId="3673" xr:uid="{00000000-0005-0000-0000-0000060F0000}"/>
    <cellStyle name="Millares 6 2 2 5" xfId="1300" xr:uid="{00000000-0005-0000-0000-0000070F0000}"/>
    <cellStyle name="Millares 6 2 2 6" xfId="2882" xr:uid="{00000000-0005-0000-0000-0000080F0000}"/>
    <cellStyle name="Millares 6 2 3" xfId="572" xr:uid="{00000000-0005-0000-0000-0000090F0000}"/>
    <cellStyle name="Millares 6 2 3 2" xfId="979" xr:uid="{00000000-0005-0000-0000-00000A0F0000}"/>
    <cellStyle name="Millares 6 2 3 2 2" xfId="2562" xr:uid="{00000000-0005-0000-0000-00000B0F0000}"/>
    <cellStyle name="Millares 6 2 3 2 2 2" xfId="4144" xr:uid="{00000000-0005-0000-0000-00000C0F0000}"/>
    <cellStyle name="Millares 6 2 3 2 3" xfId="1771" xr:uid="{00000000-0005-0000-0000-00000D0F0000}"/>
    <cellStyle name="Millares 6 2 3 2 4" xfId="3353" xr:uid="{00000000-0005-0000-0000-00000E0F0000}"/>
    <cellStyle name="Millares 6 2 3 3" xfId="2168" xr:uid="{00000000-0005-0000-0000-00000F0F0000}"/>
    <cellStyle name="Millares 6 2 3 3 2" xfId="3750" xr:uid="{00000000-0005-0000-0000-0000100F0000}"/>
    <cellStyle name="Millares 6 2 3 4" xfId="1377" xr:uid="{00000000-0005-0000-0000-0000110F0000}"/>
    <cellStyle name="Millares 6 2 3 5" xfId="2959" xr:uid="{00000000-0005-0000-0000-0000120F0000}"/>
    <cellStyle name="Millares 6 2 4" xfId="647" xr:uid="{00000000-0005-0000-0000-0000130F0000}"/>
    <cellStyle name="Millares 6 2 4 2" xfId="1047" xr:uid="{00000000-0005-0000-0000-0000140F0000}"/>
    <cellStyle name="Millares 6 2 4 2 2" xfId="2630" xr:uid="{00000000-0005-0000-0000-0000150F0000}"/>
    <cellStyle name="Millares 6 2 4 2 2 2" xfId="4212" xr:uid="{00000000-0005-0000-0000-0000160F0000}"/>
    <cellStyle name="Millares 6 2 4 2 3" xfId="1839" xr:uid="{00000000-0005-0000-0000-0000170F0000}"/>
    <cellStyle name="Millares 6 2 4 2 4" xfId="3421" xr:uid="{00000000-0005-0000-0000-0000180F0000}"/>
    <cellStyle name="Millares 6 2 4 3" xfId="2236" xr:uid="{00000000-0005-0000-0000-0000190F0000}"/>
    <cellStyle name="Millares 6 2 4 3 2" xfId="3818" xr:uid="{00000000-0005-0000-0000-00001A0F0000}"/>
    <cellStyle name="Millares 6 2 4 4" xfId="1445" xr:uid="{00000000-0005-0000-0000-00001B0F0000}"/>
    <cellStyle name="Millares 6 2 4 5" xfId="3027" xr:uid="{00000000-0005-0000-0000-00001C0F0000}"/>
    <cellStyle name="Millares 6 2 5" xfId="826" xr:uid="{00000000-0005-0000-0000-00001D0F0000}"/>
    <cellStyle name="Millares 6 2 5 2" xfId="2409" xr:uid="{00000000-0005-0000-0000-00001E0F0000}"/>
    <cellStyle name="Millares 6 2 5 2 2" xfId="3991" xr:uid="{00000000-0005-0000-0000-00001F0F0000}"/>
    <cellStyle name="Millares 6 2 5 3" xfId="1618" xr:uid="{00000000-0005-0000-0000-0000200F0000}"/>
    <cellStyle name="Millares 6 2 5 4" xfId="3200" xr:uid="{00000000-0005-0000-0000-0000210F0000}"/>
    <cellStyle name="Millares 6 2 6" xfId="2015" xr:uid="{00000000-0005-0000-0000-0000220F0000}"/>
    <cellStyle name="Millares 6 2 6 2" xfId="3597" xr:uid="{00000000-0005-0000-0000-0000230F0000}"/>
    <cellStyle name="Millares 6 2 7" xfId="1224" xr:uid="{00000000-0005-0000-0000-0000240F0000}"/>
    <cellStyle name="Millares 6 2 8" xfId="2806" xr:uid="{00000000-0005-0000-0000-0000250F0000}"/>
    <cellStyle name="Millares 6 3" xfId="454" xr:uid="{00000000-0005-0000-0000-0000260F0000}"/>
    <cellStyle name="Millares 6 3 2" xfId="682" xr:uid="{00000000-0005-0000-0000-0000270F0000}"/>
    <cellStyle name="Millares 6 3 2 2" xfId="1082" xr:uid="{00000000-0005-0000-0000-0000280F0000}"/>
    <cellStyle name="Millares 6 3 2 2 2" xfId="2665" xr:uid="{00000000-0005-0000-0000-0000290F0000}"/>
    <cellStyle name="Millares 6 3 2 2 2 2" xfId="4247" xr:uid="{00000000-0005-0000-0000-00002A0F0000}"/>
    <cellStyle name="Millares 6 3 2 2 3" xfId="1874" xr:uid="{00000000-0005-0000-0000-00002B0F0000}"/>
    <cellStyle name="Millares 6 3 2 2 4" xfId="3456" xr:uid="{00000000-0005-0000-0000-00002C0F0000}"/>
    <cellStyle name="Millares 6 3 2 3" xfId="2271" xr:uid="{00000000-0005-0000-0000-00002D0F0000}"/>
    <cellStyle name="Millares 6 3 2 3 2" xfId="3853" xr:uid="{00000000-0005-0000-0000-00002E0F0000}"/>
    <cellStyle name="Millares 6 3 2 4" xfId="1480" xr:uid="{00000000-0005-0000-0000-00002F0F0000}"/>
    <cellStyle name="Millares 6 3 2 5" xfId="3062" xr:uid="{00000000-0005-0000-0000-0000300F0000}"/>
    <cellStyle name="Millares 6 3 3" xfId="861" xr:uid="{00000000-0005-0000-0000-0000310F0000}"/>
    <cellStyle name="Millares 6 3 3 2" xfId="2444" xr:uid="{00000000-0005-0000-0000-0000320F0000}"/>
    <cellStyle name="Millares 6 3 3 2 2" xfId="4026" xr:uid="{00000000-0005-0000-0000-0000330F0000}"/>
    <cellStyle name="Millares 6 3 3 3" xfId="1653" xr:uid="{00000000-0005-0000-0000-0000340F0000}"/>
    <cellStyle name="Millares 6 3 3 4" xfId="3235" xr:uid="{00000000-0005-0000-0000-0000350F0000}"/>
    <cellStyle name="Millares 6 3 4" xfId="2050" xr:uid="{00000000-0005-0000-0000-0000360F0000}"/>
    <cellStyle name="Millares 6 3 4 2" xfId="3632" xr:uid="{00000000-0005-0000-0000-0000370F0000}"/>
    <cellStyle name="Millares 6 3 5" xfId="1259" xr:uid="{00000000-0005-0000-0000-0000380F0000}"/>
    <cellStyle name="Millares 6 3 6" xfId="2841" xr:uid="{00000000-0005-0000-0000-0000390F0000}"/>
    <cellStyle name="Millares 6 4" xfId="531" xr:uid="{00000000-0005-0000-0000-00003A0F0000}"/>
    <cellStyle name="Millares 6 4 2" xfId="938" xr:uid="{00000000-0005-0000-0000-00003B0F0000}"/>
    <cellStyle name="Millares 6 4 2 2" xfId="2521" xr:uid="{00000000-0005-0000-0000-00003C0F0000}"/>
    <cellStyle name="Millares 6 4 2 2 2" xfId="4103" xr:uid="{00000000-0005-0000-0000-00003D0F0000}"/>
    <cellStyle name="Millares 6 4 2 3" xfId="1730" xr:uid="{00000000-0005-0000-0000-00003E0F0000}"/>
    <cellStyle name="Millares 6 4 2 4" xfId="3312" xr:uid="{00000000-0005-0000-0000-00003F0F0000}"/>
    <cellStyle name="Millares 6 4 3" xfId="2127" xr:uid="{00000000-0005-0000-0000-0000400F0000}"/>
    <cellStyle name="Millares 6 4 3 2" xfId="3709" xr:uid="{00000000-0005-0000-0000-0000410F0000}"/>
    <cellStyle name="Millares 6 4 4" xfId="1336" xr:uid="{00000000-0005-0000-0000-0000420F0000}"/>
    <cellStyle name="Millares 6 4 5" xfId="2918" xr:uid="{00000000-0005-0000-0000-0000430F0000}"/>
    <cellStyle name="Millares 6 5" xfId="606" xr:uid="{00000000-0005-0000-0000-0000440F0000}"/>
    <cellStyle name="Millares 6 5 2" xfId="1006" xr:uid="{00000000-0005-0000-0000-0000450F0000}"/>
    <cellStyle name="Millares 6 5 2 2" xfId="2589" xr:uid="{00000000-0005-0000-0000-0000460F0000}"/>
    <cellStyle name="Millares 6 5 2 2 2" xfId="4171" xr:uid="{00000000-0005-0000-0000-0000470F0000}"/>
    <cellStyle name="Millares 6 5 2 3" xfId="1798" xr:uid="{00000000-0005-0000-0000-0000480F0000}"/>
    <cellStyle name="Millares 6 5 2 4" xfId="3380" xr:uid="{00000000-0005-0000-0000-0000490F0000}"/>
    <cellStyle name="Millares 6 5 3" xfId="2195" xr:uid="{00000000-0005-0000-0000-00004A0F0000}"/>
    <cellStyle name="Millares 6 5 3 2" xfId="3777" xr:uid="{00000000-0005-0000-0000-00004B0F0000}"/>
    <cellStyle name="Millares 6 5 4" xfId="1404" xr:uid="{00000000-0005-0000-0000-00004C0F0000}"/>
    <cellStyle name="Millares 6 5 5" xfId="2986" xr:uid="{00000000-0005-0000-0000-00004D0F0000}"/>
    <cellStyle name="Millares 6 6" xfId="758" xr:uid="{00000000-0005-0000-0000-00004E0F0000}"/>
    <cellStyle name="Millares 6 6 2" xfId="1158" xr:uid="{00000000-0005-0000-0000-00004F0F0000}"/>
    <cellStyle name="Millares 6 6 2 2" xfId="2741" xr:uid="{00000000-0005-0000-0000-0000500F0000}"/>
    <cellStyle name="Millares 6 6 2 2 2" xfId="4323" xr:uid="{00000000-0005-0000-0000-0000510F0000}"/>
    <cellStyle name="Millares 6 6 2 3" xfId="1950" xr:uid="{00000000-0005-0000-0000-0000520F0000}"/>
    <cellStyle name="Millares 6 6 2 4" xfId="3532" xr:uid="{00000000-0005-0000-0000-0000530F0000}"/>
    <cellStyle name="Millares 6 6 3" xfId="2347" xr:uid="{00000000-0005-0000-0000-0000540F0000}"/>
    <cellStyle name="Millares 6 6 3 2" xfId="3929" xr:uid="{00000000-0005-0000-0000-0000550F0000}"/>
    <cellStyle name="Millares 6 6 4" xfId="1556" xr:uid="{00000000-0005-0000-0000-0000560F0000}"/>
    <cellStyle name="Millares 6 6 5" xfId="3138" xr:uid="{00000000-0005-0000-0000-0000570F0000}"/>
    <cellStyle name="Millares 6 7" xfId="785" xr:uid="{00000000-0005-0000-0000-0000580F0000}"/>
    <cellStyle name="Millares 6 7 2" xfId="2368" xr:uid="{00000000-0005-0000-0000-0000590F0000}"/>
    <cellStyle name="Millares 6 7 2 2" xfId="3950" xr:uid="{00000000-0005-0000-0000-00005A0F0000}"/>
    <cellStyle name="Millares 6 7 3" xfId="1577" xr:uid="{00000000-0005-0000-0000-00005B0F0000}"/>
    <cellStyle name="Millares 6 7 4" xfId="3159" xr:uid="{00000000-0005-0000-0000-00005C0F0000}"/>
    <cellStyle name="Millares 6 8" xfId="1974" xr:uid="{00000000-0005-0000-0000-00005D0F0000}"/>
    <cellStyle name="Millares 6 8 2" xfId="3556" xr:uid="{00000000-0005-0000-0000-00005E0F0000}"/>
    <cellStyle name="Millares 6 9" xfId="1183" xr:uid="{00000000-0005-0000-0000-00005F0F0000}"/>
    <cellStyle name="Millares 60" xfId="4339" xr:uid="{00000000-0005-0000-0000-0000600F0000}"/>
    <cellStyle name="Millares 60 2" xfId="4614" xr:uid="{4C2BC9EB-50BF-47BC-9121-8A0C6B017914}"/>
    <cellStyle name="Millares 60 3" xfId="4991" xr:uid="{980DC5F1-33FD-42EF-98CF-F8B520CE1BF1}"/>
    <cellStyle name="Millares 61" xfId="4341" xr:uid="{00000000-0005-0000-0000-0000610F0000}"/>
    <cellStyle name="Millares 61 2" xfId="4795" xr:uid="{94EFAE21-1AF2-4705-95CF-352967B05127}"/>
    <cellStyle name="Millares 61 3" xfId="5095" xr:uid="{2E4E83ED-8A61-4C79-A57F-BAA1562555FF}"/>
    <cellStyle name="Millares 62" xfId="4353" xr:uid="{00000000-0005-0000-0000-0000620F0000}"/>
    <cellStyle name="Millares 62 2" xfId="4893" xr:uid="{ED7A4210-DCDA-4F1A-9281-4771CB6FB37C}"/>
    <cellStyle name="Millares 62 3" xfId="5178" xr:uid="{A810B259-4769-44FB-87F6-398802A2B58D}"/>
    <cellStyle name="Millares 63" xfId="4340" xr:uid="{00000000-0005-0000-0000-0000630F0000}"/>
    <cellStyle name="Millares 64" xfId="4344" xr:uid="{00000000-0005-0000-0000-0000640F0000}"/>
    <cellStyle name="Millares 65" xfId="4351" xr:uid="{00000000-0005-0000-0000-0000650F0000}"/>
    <cellStyle name="Millares 66" xfId="4346" xr:uid="{00000000-0005-0000-0000-0000660F0000}"/>
    <cellStyle name="Millares 67" xfId="4342" xr:uid="{00000000-0005-0000-0000-0000670F0000}"/>
    <cellStyle name="Millares 68" xfId="4352" xr:uid="{00000000-0005-0000-0000-0000680F0000}"/>
    <cellStyle name="Millares 69" xfId="4343" xr:uid="{00000000-0005-0000-0000-0000690F0000}"/>
    <cellStyle name="Millares 7" xfId="310" xr:uid="{00000000-0005-0000-0000-00006A0F0000}"/>
    <cellStyle name="Millares 7 10" xfId="2770" xr:uid="{00000000-0005-0000-0000-00006B0F0000}"/>
    <cellStyle name="Millares 7 11" xfId="4641" xr:uid="{1498F20F-2228-4980-BF5E-33115E9B4ABF}"/>
    <cellStyle name="Millares 7 11 2" xfId="5014" xr:uid="{BF9C17B3-0F78-4A70-9AD1-50D6BDC97111}"/>
    <cellStyle name="Millares 7 12" xfId="4407" xr:uid="{8D7870BA-E834-4038-80D9-CDFB0384912B}"/>
    <cellStyle name="Millares 7 2" xfId="388" xr:uid="{00000000-0005-0000-0000-00006C0F0000}"/>
    <cellStyle name="Millares 7 2 2" xfId="500" xr:uid="{00000000-0005-0000-0000-00006D0F0000}"/>
    <cellStyle name="Millares 7 2 2 2" xfId="728" xr:uid="{00000000-0005-0000-0000-00006E0F0000}"/>
    <cellStyle name="Millares 7 2 2 2 2" xfId="1128" xr:uid="{00000000-0005-0000-0000-00006F0F0000}"/>
    <cellStyle name="Millares 7 2 2 2 2 2" xfId="2711" xr:uid="{00000000-0005-0000-0000-0000700F0000}"/>
    <cellStyle name="Millares 7 2 2 2 2 2 2" xfId="4293" xr:uid="{00000000-0005-0000-0000-0000710F0000}"/>
    <cellStyle name="Millares 7 2 2 2 2 3" xfId="1920" xr:uid="{00000000-0005-0000-0000-0000720F0000}"/>
    <cellStyle name="Millares 7 2 2 2 2 4" xfId="3502" xr:uid="{00000000-0005-0000-0000-0000730F0000}"/>
    <cellStyle name="Millares 7 2 2 2 3" xfId="2317" xr:uid="{00000000-0005-0000-0000-0000740F0000}"/>
    <cellStyle name="Millares 7 2 2 2 3 2" xfId="3899" xr:uid="{00000000-0005-0000-0000-0000750F0000}"/>
    <cellStyle name="Millares 7 2 2 2 4" xfId="1526" xr:uid="{00000000-0005-0000-0000-0000760F0000}"/>
    <cellStyle name="Millares 7 2 2 2 5" xfId="3108" xr:uid="{00000000-0005-0000-0000-0000770F0000}"/>
    <cellStyle name="Millares 7 2 2 3" xfId="907" xr:uid="{00000000-0005-0000-0000-0000780F0000}"/>
    <cellStyle name="Millares 7 2 2 3 2" xfId="2490" xr:uid="{00000000-0005-0000-0000-0000790F0000}"/>
    <cellStyle name="Millares 7 2 2 3 2 2" xfId="4072" xr:uid="{00000000-0005-0000-0000-00007A0F0000}"/>
    <cellStyle name="Millares 7 2 2 3 3" xfId="1699" xr:uid="{00000000-0005-0000-0000-00007B0F0000}"/>
    <cellStyle name="Millares 7 2 2 3 4" xfId="3281" xr:uid="{00000000-0005-0000-0000-00007C0F0000}"/>
    <cellStyle name="Millares 7 2 2 4" xfId="2096" xr:uid="{00000000-0005-0000-0000-00007D0F0000}"/>
    <cellStyle name="Millares 7 2 2 4 2" xfId="3678" xr:uid="{00000000-0005-0000-0000-00007E0F0000}"/>
    <cellStyle name="Millares 7 2 2 5" xfId="1305" xr:uid="{00000000-0005-0000-0000-00007F0F0000}"/>
    <cellStyle name="Millares 7 2 2 6" xfId="2887" xr:uid="{00000000-0005-0000-0000-0000800F0000}"/>
    <cellStyle name="Millares 7 2 3" xfId="577" xr:uid="{00000000-0005-0000-0000-0000810F0000}"/>
    <cellStyle name="Millares 7 2 3 2" xfId="984" xr:uid="{00000000-0005-0000-0000-0000820F0000}"/>
    <cellStyle name="Millares 7 2 3 2 2" xfId="2567" xr:uid="{00000000-0005-0000-0000-0000830F0000}"/>
    <cellStyle name="Millares 7 2 3 2 2 2" xfId="4149" xr:uid="{00000000-0005-0000-0000-0000840F0000}"/>
    <cellStyle name="Millares 7 2 3 2 3" xfId="1776" xr:uid="{00000000-0005-0000-0000-0000850F0000}"/>
    <cellStyle name="Millares 7 2 3 2 4" xfId="3358" xr:uid="{00000000-0005-0000-0000-0000860F0000}"/>
    <cellStyle name="Millares 7 2 3 3" xfId="2173" xr:uid="{00000000-0005-0000-0000-0000870F0000}"/>
    <cellStyle name="Millares 7 2 3 3 2" xfId="3755" xr:uid="{00000000-0005-0000-0000-0000880F0000}"/>
    <cellStyle name="Millares 7 2 3 4" xfId="1382" xr:uid="{00000000-0005-0000-0000-0000890F0000}"/>
    <cellStyle name="Millares 7 2 3 5" xfId="2964" xr:uid="{00000000-0005-0000-0000-00008A0F0000}"/>
    <cellStyle name="Millares 7 2 4" xfId="652" xr:uid="{00000000-0005-0000-0000-00008B0F0000}"/>
    <cellStyle name="Millares 7 2 4 2" xfId="1052" xr:uid="{00000000-0005-0000-0000-00008C0F0000}"/>
    <cellStyle name="Millares 7 2 4 2 2" xfId="2635" xr:uid="{00000000-0005-0000-0000-00008D0F0000}"/>
    <cellStyle name="Millares 7 2 4 2 2 2" xfId="4217" xr:uid="{00000000-0005-0000-0000-00008E0F0000}"/>
    <cellStyle name="Millares 7 2 4 2 3" xfId="1844" xr:uid="{00000000-0005-0000-0000-00008F0F0000}"/>
    <cellStyle name="Millares 7 2 4 2 4" xfId="3426" xr:uid="{00000000-0005-0000-0000-0000900F0000}"/>
    <cellStyle name="Millares 7 2 4 3" xfId="2241" xr:uid="{00000000-0005-0000-0000-0000910F0000}"/>
    <cellStyle name="Millares 7 2 4 3 2" xfId="3823" xr:uid="{00000000-0005-0000-0000-0000920F0000}"/>
    <cellStyle name="Millares 7 2 4 4" xfId="1450" xr:uid="{00000000-0005-0000-0000-0000930F0000}"/>
    <cellStyle name="Millares 7 2 4 5" xfId="3032" xr:uid="{00000000-0005-0000-0000-0000940F0000}"/>
    <cellStyle name="Millares 7 2 5" xfId="831" xr:uid="{00000000-0005-0000-0000-0000950F0000}"/>
    <cellStyle name="Millares 7 2 5 2" xfId="2414" xr:uid="{00000000-0005-0000-0000-0000960F0000}"/>
    <cellStyle name="Millares 7 2 5 2 2" xfId="3996" xr:uid="{00000000-0005-0000-0000-0000970F0000}"/>
    <cellStyle name="Millares 7 2 5 3" xfId="1623" xr:uid="{00000000-0005-0000-0000-0000980F0000}"/>
    <cellStyle name="Millares 7 2 5 4" xfId="3205" xr:uid="{00000000-0005-0000-0000-0000990F0000}"/>
    <cellStyle name="Millares 7 2 6" xfId="2020" xr:uid="{00000000-0005-0000-0000-00009A0F0000}"/>
    <cellStyle name="Millares 7 2 6 2" xfId="3602" xr:uid="{00000000-0005-0000-0000-00009B0F0000}"/>
    <cellStyle name="Millares 7 2 7" xfId="1229" xr:uid="{00000000-0005-0000-0000-00009C0F0000}"/>
    <cellStyle name="Millares 7 2 8" xfId="2811" xr:uid="{00000000-0005-0000-0000-00009D0F0000}"/>
    <cellStyle name="Millares 7 3" xfId="459" xr:uid="{00000000-0005-0000-0000-00009E0F0000}"/>
    <cellStyle name="Millares 7 3 2" xfId="687" xr:uid="{00000000-0005-0000-0000-00009F0F0000}"/>
    <cellStyle name="Millares 7 3 2 2" xfId="1087" xr:uid="{00000000-0005-0000-0000-0000A00F0000}"/>
    <cellStyle name="Millares 7 3 2 2 2" xfId="2670" xr:uid="{00000000-0005-0000-0000-0000A10F0000}"/>
    <cellStyle name="Millares 7 3 2 2 2 2" xfId="4252" xr:uid="{00000000-0005-0000-0000-0000A20F0000}"/>
    <cellStyle name="Millares 7 3 2 2 3" xfId="1879" xr:uid="{00000000-0005-0000-0000-0000A30F0000}"/>
    <cellStyle name="Millares 7 3 2 2 4" xfId="3461" xr:uid="{00000000-0005-0000-0000-0000A40F0000}"/>
    <cellStyle name="Millares 7 3 2 3" xfId="2276" xr:uid="{00000000-0005-0000-0000-0000A50F0000}"/>
    <cellStyle name="Millares 7 3 2 3 2" xfId="3858" xr:uid="{00000000-0005-0000-0000-0000A60F0000}"/>
    <cellStyle name="Millares 7 3 2 4" xfId="1485" xr:uid="{00000000-0005-0000-0000-0000A70F0000}"/>
    <cellStyle name="Millares 7 3 2 5" xfId="3067" xr:uid="{00000000-0005-0000-0000-0000A80F0000}"/>
    <cellStyle name="Millares 7 3 3" xfId="866" xr:uid="{00000000-0005-0000-0000-0000A90F0000}"/>
    <cellStyle name="Millares 7 3 3 2" xfId="2449" xr:uid="{00000000-0005-0000-0000-0000AA0F0000}"/>
    <cellStyle name="Millares 7 3 3 2 2" xfId="4031" xr:uid="{00000000-0005-0000-0000-0000AB0F0000}"/>
    <cellStyle name="Millares 7 3 3 3" xfId="1658" xr:uid="{00000000-0005-0000-0000-0000AC0F0000}"/>
    <cellStyle name="Millares 7 3 3 4" xfId="3240" xr:uid="{00000000-0005-0000-0000-0000AD0F0000}"/>
    <cellStyle name="Millares 7 3 4" xfId="2055" xr:uid="{00000000-0005-0000-0000-0000AE0F0000}"/>
    <cellStyle name="Millares 7 3 4 2" xfId="3637" xr:uid="{00000000-0005-0000-0000-0000AF0F0000}"/>
    <cellStyle name="Millares 7 3 5" xfId="1264" xr:uid="{00000000-0005-0000-0000-0000B00F0000}"/>
    <cellStyle name="Millares 7 3 6" xfId="2846" xr:uid="{00000000-0005-0000-0000-0000B10F0000}"/>
    <cellStyle name="Millares 7 4" xfId="536" xr:uid="{00000000-0005-0000-0000-0000B20F0000}"/>
    <cellStyle name="Millares 7 4 2" xfId="943" xr:uid="{00000000-0005-0000-0000-0000B30F0000}"/>
    <cellStyle name="Millares 7 4 2 2" xfId="2526" xr:uid="{00000000-0005-0000-0000-0000B40F0000}"/>
    <cellStyle name="Millares 7 4 2 2 2" xfId="4108" xr:uid="{00000000-0005-0000-0000-0000B50F0000}"/>
    <cellStyle name="Millares 7 4 2 3" xfId="1735" xr:uid="{00000000-0005-0000-0000-0000B60F0000}"/>
    <cellStyle name="Millares 7 4 2 4" xfId="3317" xr:uid="{00000000-0005-0000-0000-0000B70F0000}"/>
    <cellStyle name="Millares 7 4 3" xfId="2132" xr:uid="{00000000-0005-0000-0000-0000B80F0000}"/>
    <cellStyle name="Millares 7 4 3 2" xfId="3714" xr:uid="{00000000-0005-0000-0000-0000B90F0000}"/>
    <cellStyle name="Millares 7 4 4" xfId="1341" xr:uid="{00000000-0005-0000-0000-0000BA0F0000}"/>
    <cellStyle name="Millares 7 4 5" xfId="2923" xr:uid="{00000000-0005-0000-0000-0000BB0F0000}"/>
    <cellStyle name="Millares 7 5" xfId="611" xr:uid="{00000000-0005-0000-0000-0000BC0F0000}"/>
    <cellStyle name="Millares 7 5 2" xfId="1011" xr:uid="{00000000-0005-0000-0000-0000BD0F0000}"/>
    <cellStyle name="Millares 7 5 2 2" xfId="2594" xr:uid="{00000000-0005-0000-0000-0000BE0F0000}"/>
    <cellStyle name="Millares 7 5 2 2 2" xfId="4176" xr:uid="{00000000-0005-0000-0000-0000BF0F0000}"/>
    <cellStyle name="Millares 7 5 2 3" xfId="1803" xr:uid="{00000000-0005-0000-0000-0000C00F0000}"/>
    <cellStyle name="Millares 7 5 2 4" xfId="3385" xr:uid="{00000000-0005-0000-0000-0000C10F0000}"/>
    <cellStyle name="Millares 7 5 3" xfId="2200" xr:uid="{00000000-0005-0000-0000-0000C20F0000}"/>
    <cellStyle name="Millares 7 5 3 2" xfId="3782" xr:uid="{00000000-0005-0000-0000-0000C30F0000}"/>
    <cellStyle name="Millares 7 5 4" xfId="1409" xr:uid="{00000000-0005-0000-0000-0000C40F0000}"/>
    <cellStyle name="Millares 7 5 5" xfId="2991" xr:uid="{00000000-0005-0000-0000-0000C50F0000}"/>
    <cellStyle name="Millares 7 6" xfId="763" xr:uid="{00000000-0005-0000-0000-0000C60F0000}"/>
    <cellStyle name="Millares 7 6 2" xfId="1163" xr:uid="{00000000-0005-0000-0000-0000C70F0000}"/>
    <cellStyle name="Millares 7 6 2 2" xfId="2746" xr:uid="{00000000-0005-0000-0000-0000C80F0000}"/>
    <cellStyle name="Millares 7 6 2 2 2" xfId="4328" xr:uid="{00000000-0005-0000-0000-0000C90F0000}"/>
    <cellStyle name="Millares 7 6 2 3" xfId="1955" xr:uid="{00000000-0005-0000-0000-0000CA0F0000}"/>
    <cellStyle name="Millares 7 6 2 4" xfId="3537" xr:uid="{00000000-0005-0000-0000-0000CB0F0000}"/>
    <cellStyle name="Millares 7 6 3" xfId="2352" xr:uid="{00000000-0005-0000-0000-0000CC0F0000}"/>
    <cellStyle name="Millares 7 6 3 2" xfId="3934" xr:uid="{00000000-0005-0000-0000-0000CD0F0000}"/>
    <cellStyle name="Millares 7 6 4" xfId="1561" xr:uid="{00000000-0005-0000-0000-0000CE0F0000}"/>
    <cellStyle name="Millares 7 6 5" xfId="3143" xr:uid="{00000000-0005-0000-0000-0000CF0F0000}"/>
    <cellStyle name="Millares 7 7" xfId="790" xr:uid="{00000000-0005-0000-0000-0000D00F0000}"/>
    <cellStyle name="Millares 7 7 2" xfId="2373" xr:uid="{00000000-0005-0000-0000-0000D10F0000}"/>
    <cellStyle name="Millares 7 7 2 2" xfId="3955" xr:uid="{00000000-0005-0000-0000-0000D20F0000}"/>
    <cellStyle name="Millares 7 7 3" xfId="1582" xr:uid="{00000000-0005-0000-0000-0000D30F0000}"/>
    <cellStyle name="Millares 7 7 4" xfId="3164" xr:uid="{00000000-0005-0000-0000-0000D40F0000}"/>
    <cellStyle name="Millares 7 8" xfId="1979" xr:uid="{00000000-0005-0000-0000-0000D50F0000}"/>
    <cellStyle name="Millares 7 8 2" xfId="3561" xr:uid="{00000000-0005-0000-0000-0000D60F0000}"/>
    <cellStyle name="Millares 7 9" xfId="1188" xr:uid="{00000000-0005-0000-0000-0000D70F0000}"/>
    <cellStyle name="Millares 70" xfId="4349" xr:uid="{00000000-0005-0000-0000-0000D80F0000}"/>
    <cellStyle name="Millares 71" xfId="4348" xr:uid="{00000000-0005-0000-0000-0000D90F0000}"/>
    <cellStyle name="Millares 72" xfId="4345" xr:uid="{00000000-0005-0000-0000-0000DA0F0000}"/>
    <cellStyle name="Millares 73" xfId="4347" xr:uid="{00000000-0005-0000-0000-0000DB0F0000}"/>
    <cellStyle name="Millares 74" xfId="4350" xr:uid="{00000000-0005-0000-0000-0000DC0F0000}"/>
    <cellStyle name="Millares 8" xfId="303" xr:uid="{00000000-0005-0000-0000-0000DD0F0000}"/>
    <cellStyle name="Millares 8 10" xfId="2766" xr:uid="{00000000-0005-0000-0000-0000DE0F0000}"/>
    <cellStyle name="Millares 8 11" xfId="4640" xr:uid="{62E3C53F-4194-4E52-9E78-5C632DB8CA19}"/>
    <cellStyle name="Millares 8 11 2" xfId="5013" xr:uid="{4324CCAB-8A54-464F-B101-FF2CD378D72C}"/>
    <cellStyle name="Millares 8 12" xfId="4406" xr:uid="{96DC1C03-7A97-46E6-B743-3731F1573FFD}"/>
    <cellStyle name="Millares 8 2" xfId="381" xr:uid="{00000000-0005-0000-0000-0000DF0F0000}"/>
    <cellStyle name="Millares 8 2 2" xfId="496" xr:uid="{00000000-0005-0000-0000-0000E00F0000}"/>
    <cellStyle name="Millares 8 2 2 2" xfId="724" xr:uid="{00000000-0005-0000-0000-0000E10F0000}"/>
    <cellStyle name="Millares 8 2 2 2 2" xfId="1124" xr:uid="{00000000-0005-0000-0000-0000E20F0000}"/>
    <cellStyle name="Millares 8 2 2 2 2 2" xfId="2707" xr:uid="{00000000-0005-0000-0000-0000E30F0000}"/>
    <cellStyle name="Millares 8 2 2 2 2 2 2" xfId="4289" xr:uid="{00000000-0005-0000-0000-0000E40F0000}"/>
    <cellStyle name="Millares 8 2 2 2 2 3" xfId="1916" xr:uid="{00000000-0005-0000-0000-0000E50F0000}"/>
    <cellStyle name="Millares 8 2 2 2 2 4" xfId="3498" xr:uid="{00000000-0005-0000-0000-0000E60F0000}"/>
    <cellStyle name="Millares 8 2 2 2 3" xfId="2313" xr:uid="{00000000-0005-0000-0000-0000E70F0000}"/>
    <cellStyle name="Millares 8 2 2 2 3 2" xfId="3895" xr:uid="{00000000-0005-0000-0000-0000E80F0000}"/>
    <cellStyle name="Millares 8 2 2 2 4" xfId="1522" xr:uid="{00000000-0005-0000-0000-0000E90F0000}"/>
    <cellStyle name="Millares 8 2 2 2 5" xfId="3104" xr:uid="{00000000-0005-0000-0000-0000EA0F0000}"/>
    <cellStyle name="Millares 8 2 2 3" xfId="903" xr:uid="{00000000-0005-0000-0000-0000EB0F0000}"/>
    <cellStyle name="Millares 8 2 2 3 2" xfId="2486" xr:uid="{00000000-0005-0000-0000-0000EC0F0000}"/>
    <cellStyle name="Millares 8 2 2 3 2 2" xfId="4068" xr:uid="{00000000-0005-0000-0000-0000ED0F0000}"/>
    <cellStyle name="Millares 8 2 2 3 3" xfId="1695" xr:uid="{00000000-0005-0000-0000-0000EE0F0000}"/>
    <cellStyle name="Millares 8 2 2 3 4" xfId="3277" xr:uid="{00000000-0005-0000-0000-0000EF0F0000}"/>
    <cellStyle name="Millares 8 2 2 4" xfId="2092" xr:uid="{00000000-0005-0000-0000-0000F00F0000}"/>
    <cellStyle name="Millares 8 2 2 4 2" xfId="3674" xr:uid="{00000000-0005-0000-0000-0000F10F0000}"/>
    <cellStyle name="Millares 8 2 2 5" xfId="1301" xr:uid="{00000000-0005-0000-0000-0000F20F0000}"/>
    <cellStyle name="Millares 8 2 2 6" xfId="2883" xr:uid="{00000000-0005-0000-0000-0000F30F0000}"/>
    <cellStyle name="Millares 8 2 3" xfId="573" xr:uid="{00000000-0005-0000-0000-0000F40F0000}"/>
    <cellStyle name="Millares 8 2 3 2" xfId="980" xr:uid="{00000000-0005-0000-0000-0000F50F0000}"/>
    <cellStyle name="Millares 8 2 3 2 2" xfId="2563" xr:uid="{00000000-0005-0000-0000-0000F60F0000}"/>
    <cellStyle name="Millares 8 2 3 2 2 2" xfId="4145" xr:uid="{00000000-0005-0000-0000-0000F70F0000}"/>
    <cellStyle name="Millares 8 2 3 2 3" xfId="1772" xr:uid="{00000000-0005-0000-0000-0000F80F0000}"/>
    <cellStyle name="Millares 8 2 3 2 4" xfId="3354" xr:uid="{00000000-0005-0000-0000-0000F90F0000}"/>
    <cellStyle name="Millares 8 2 3 3" xfId="2169" xr:uid="{00000000-0005-0000-0000-0000FA0F0000}"/>
    <cellStyle name="Millares 8 2 3 3 2" xfId="3751" xr:uid="{00000000-0005-0000-0000-0000FB0F0000}"/>
    <cellStyle name="Millares 8 2 3 4" xfId="1378" xr:uid="{00000000-0005-0000-0000-0000FC0F0000}"/>
    <cellStyle name="Millares 8 2 3 5" xfId="2960" xr:uid="{00000000-0005-0000-0000-0000FD0F0000}"/>
    <cellStyle name="Millares 8 2 4" xfId="648" xr:uid="{00000000-0005-0000-0000-0000FE0F0000}"/>
    <cellStyle name="Millares 8 2 4 2" xfId="1048" xr:uid="{00000000-0005-0000-0000-0000FF0F0000}"/>
    <cellStyle name="Millares 8 2 4 2 2" xfId="2631" xr:uid="{00000000-0005-0000-0000-000000100000}"/>
    <cellStyle name="Millares 8 2 4 2 2 2" xfId="4213" xr:uid="{00000000-0005-0000-0000-000001100000}"/>
    <cellStyle name="Millares 8 2 4 2 3" xfId="1840" xr:uid="{00000000-0005-0000-0000-000002100000}"/>
    <cellStyle name="Millares 8 2 4 2 4" xfId="3422" xr:uid="{00000000-0005-0000-0000-000003100000}"/>
    <cellStyle name="Millares 8 2 4 3" xfId="2237" xr:uid="{00000000-0005-0000-0000-000004100000}"/>
    <cellStyle name="Millares 8 2 4 3 2" xfId="3819" xr:uid="{00000000-0005-0000-0000-000005100000}"/>
    <cellStyle name="Millares 8 2 4 4" xfId="1446" xr:uid="{00000000-0005-0000-0000-000006100000}"/>
    <cellStyle name="Millares 8 2 4 5" xfId="3028" xr:uid="{00000000-0005-0000-0000-000007100000}"/>
    <cellStyle name="Millares 8 2 5" xfId="827" xr:uid="{00000000-0005-0000-0000-000008100000}"/>
    <cellStyle name="Millares 8 2 5 2" xfId="2410" xr:uid="{00000000-0005-0000-0000-000009100000}"/>
    <cellStyle name="Millares 8 2 5 2 2" xfId="3992" xr:uid="{00000000-0005-0000-0000-00000A100000}"/>
    <cellStyle name="Millares 8 2 5 3" xfId="1619" xr:uid="{00000000-0005-0000-0000-00000B100000}"/>
    <cellStyle name="Millares 8 2 5 4" xfId="3201" xr:uid="{00000000-0005-0000-0000-00000C100000}"/>
    <cellStyle name="Millares 8 2 6" xfId="2016" xr:uid="{00000000-0005-0000-0000-00000D100000}"/>
    <cellStyle name="Millares 8 2 6 2" xfId="3598" xr:uid="{00000000-0005-0000-0000-00000E100000}"/>
    <cellStyle name="Millares 8 2 7" xfId="1225" xr:uid="{00000000-0005-0000-0000-00000F100000}"/>
    <cellStyle name="Millares 8 2 8" xfId="2807" xr:uid="{00000000-0005-0000-0000-000010100000}"/>
    <cellStyle name="Millares 8 3" xfId="455" xr:uid="{00000000-0005-0000-0000-000011100000}"/>
    <cellStyle name="Millares 8 3 2" xfId="683" xr:uid="{00000000-0005-0000-0000-000012100000}"/>
    <cellStyle name="Millares 8 3 2 2" xfId="1083" xr:uid="{00000000-0005-0000-0000-000013100000}"/>
    <cellStyle name="Millares 8 3 2 2 2" xfId="2666" xr:uid="{00000000-0005-0000-0000-000014100000}"/>
    <cellStyle name="Millares 8 3 2 2 2 2" xfId="4248" xr:uid="{00000000-0005-0000-0000-000015100000}"/>
    <cellStyle name="Millares 8 3 2 2 3" xfId="1875" xr:uid="{00000000-0005-0000-0000-000016100000}"/>
    <cellStyle name="Millares 8 3 2 2 4" xfId="3457" xr:uid="{00000000-0005-0000-0000-000017100000}"/>
    <cellStyle name="Millares 8 3 2 3" xfId="2272" xr:uid="{00000000-0005-0000-0000-000018100000}"/>
    <cellStyle name="Millares 8 3 2 3 2" xfId="3854" xr:uid="{00000000-0005-0000-0000-000019100000}"/>
    <cellStyle name="Millares 8 3 2 4" xfId="1481" xr:uid="{00000000-0005-0000-0000-00001A100000}"/>
    <cellStyle name="Millares 8 3 2 5" xfId="3063" xr:uid="{00000000-0005-0000-0000-00001B100000}"/>
    <cellStyle name="Millares 8 3 3" xfId="862" xr:uid="{00000000-0005-0000-0000-00001C100000}"/>
    <cellStyle name="Millares 8 3 3 2" xfId="2445" xr:uid="{00000000-0005-0000-0000-00001D100000}"/>
    <cellStyle name="Millares 8 3 3 2 2" xfId="4027" xr:uid="{00000000-0005-0000-0000-00001E100000}"/>
    <cellStyle name="Millares 8 3 3 3" xfId="1654" xr:uid="{00000000-0005-0000-0000-00001F100000}"/>
    <cellStyle name="Millares 8 3 3 4" xfId="3236" xr:uid="{00000000-0005-0000-0000-000020100000}"/>
    <cellStyle name="Millares 8 3 4" xfId="2051" xr:uid="{00000000-0005-0000-0000-000021100000}"/>
    <cellStyle name="Millares 8 3 4 2" xfId="3633" xr:uid="{00000000-0005-0000-0000-000022100000}"/>
    <cellStyle name="Millares 8 3 5" xfId="1260" xr:uid="{00000000-0005-0000-0000-000023100000}"/>
    <cellStyle name="Millares 8 3 6" xfId="2842" xr:uid="{00000000-0005-0000-0000-000024100000}"/>
    <cellStyle name="Millares 8 4" xfId="532" xr:uid="{00000000-0005-0000-0000-000025100000}"/>
    <cellStyle name="Millares 8 4 2" xfId="939" xr:uid="{00000000-0005-0000-0000-000026100000}"/>
    <cellStyle name="Millares 8 4 2 2" xfId="2522" xr:uid="{00000000-0005-0000-0000-000027100000}"/>
    <cellStyle name="Millares 8 4 2 2 2" xfId="4104" xr:uid="{00000000-0005-0000-0000-000028100000}"/>
    <cellStyle name="Millares 8 4 2 3" xfId="1731" xr:uid="{00000000-0005-0000-0000-000029100000}"/>
    <cellStyle name="Millares 8 4 2 4" xfId="3313" xr:uid="{00000000-0005-0000-0000-00002A100000}"/>
    <cellStyle name="Millares 8 4 3" xfId="2128" xr:uid="{00000000-0005-0000-0000-00002B100000}"/>
    <cellStyle name="Millares 8 4 3 2" xfId="3710" xr:uid="{00000000-0005-0000-0000-00002C100000}"/>
    <cellStyle name="Millares 8 4 4" xfId="1337" xr:uid="{00000000-0005-0000-0000-00002D100000}"/>
    <cellStyle name="Millares 8 4 5" xfId="2919" xr:uid="{00000000-0005-0000-0000-00002E100000}"/>
    <cellStyle name="Millares 8 5" xfId="607" xr:uid="{00000000-0005-0000-0000-00002F100000}"/>
    <cellStyle name="Millares 8 5 2" xfId="1007" xr:uid="{00000000-0005-0000-0000-000030100000}"/>
    <cellStyle name="Millares 8 5 2 2" xfId="2590" xr:uid="{00000000-0005-0000-0000-000031100000}"/>
    <cellStyle name="Millares 8 5 2 2 2" xfId="4172" xr:uid="{00000000-0005-0000-0000-000032100000}"/>
    <cellStyle name="Millares 8 5 2 3" xfId="1799" xr:uid="{00000000-0005-0000-0000-000033100000}"/>
    <cellStyle name="Millares 8 5 2 4" xfId="3381" xr:uid="{00000000-0005-0000-0000-000034100000}"/>
    <cellStyle name="Millares 8 5 3" xfId="2196" xr:uid="{00000000-0005-0000-0000-000035100000}"/>
    <cellStyle name="Millares 8 5 3 2" xfId="3778" xr:uid="{00000000-0005-0000-0000-000036100000}"/>
    <cellStyle name="Millares 8 5 4" xfId="1405" xr:uid="{00000000-0005-0000-0000-000037100000}"/>
    <cellStyle name="Millares 8 5 5" xfId="2987" xr:uid="{00000000-0005-0000-0000-000038100000}"/>
    <cellStyle name="Millares 8 6" xfId="759" xr:uid="{00000000-0005-0000-0000-000039100000}"/>
    <cellStyle name="Millares 8 6 2" xfId="1159" xr:uid="{00000000-0005-0000-0000-00003A100000}"/>
    <cellStyle name="Millares 8 6 2 2" xfId="2742" xr:uid="{00000000-0005-0000-0000-00003B100000}"/>
    <cellStyle name="Millares 8 6 2 2 2" xfId="4324" xr:uid="{00000000-0005-0000-0000-00003C100000}"/>
    <cellStyle name="Millares 8 6 2 3" xfId="1951" xr:uid="{00000000-0005-0000-0000-00003D100000}"/>
    <cellStyle name="Millares 8 6 2 4" xfId="3533" xr:uid="{00000000-0005-0000-0000-00003E100000}"/>
    <cellStyle name="Millares 8 6 3" xfId="2348" xr:uid="{00000000-0005-0000-0000-00003F100000}"/>
    <cellStyle name="Millares 8 6 3 2" xfId="3930" xr:uid="{00000000-0005-0000-0000-000040100000}"/>
    <cellStyle name="Millares 8 6 4" xfId="1557" xr:uid="{00000000-0005-0000-0000-000041100000}"/>
    <cellStyle name="Millares 8 6 5" xfId="3139" xr:uid="{00000000-0005-0000-0000-000042100000}"/>
    <cellStyle name="Millares 8 7" xfId="786" xr:uid="{00000000-0005-0000-0000-000043100000}"/>
    <cellStyle name="Millares 8 7 2" xfId="2369" xr:uid="{00000000-0005-0000-0000-000044100000}"/>
    <cellStyle name="Millares 8 7 2 2" xfId="3951" xr:uid="{00000000-0005-0000-0000-000045100000}"/>
    <cellStyle name="Millares 8 7 3" xfId="1578" xr:uid="{00000000-0005-0000-0000-000046100000}"/>
    <cellStyle name="Millares 8 7 4" xfId="3160" xr:uid="{00000000-0005-0000-0000-000047100000}"/>
    <cellStyle name="Millares 8 8" xfId="1975" xr:uid="{00000000-0005-0000-0000-000048100000}"/>
    <cellStyle name="Millares 8 8 2" xfId="3557" xr:uid="{00000000-0005-0000-0000-000049100000}"/>
    <cellStyle name="Millares 8 9" xfId="1184" xr:uid="{00000000-0005-0000-0000-00004A100000}"/>
    <cellStyle name="Millares 9" xfId="309" xr:uid="{00000000-0005-0000-0000-00004B100000}"/>
    <cellStyle name="Millares 9 10" xfId="2769" xr:uid="{00000000-0005-0000-0000-00004C100000}"/>
    <cellStyle name="Millares 9 11" xfId="4653" xr:uid="{6FE05987-647F-43E3-83E6-D2B54D6731E2}"/>
    <cellStyle name="Millares 9 11 2" xfId="5026" xr:uid="{E0C42164-0B0D-455C-AFF8-6A9D4E73F537}"/>
    <cellStyle name="Millares 9 12" xfId="4422" xr:uid="{EEDA6790-0A87-4592-B7AC-E339F53D363E}"/>
    <cellStyle name="Millares 9 2" xfId="387" xr:uid="{00000000-0005-0000-0000-00004D100000}"/>
    <cellStyle name="Millares 9 2 2" xfId="499" xr:uid="{00000000-0005-0000-0000-00004E100000}"/>
    <cellStyle name="Millares 9 2 2 2" xfId="727" xr:uid="{00000000-0005-0000-0000-00004F100000}"/>
    <cellStyle name="Millares 9 2 2 2 2" xfId="1127" xr:uid="{00000000-0005-0000-0000-000050100000}"/>
    <cellStyle name="Millares 9 2 2 2 2 2" xfId="2710" xr:uid="{00000000-0005-0000-0000-000051100000}"/>
    <cellStyle name="Millares 9 2 2 2 2 2 2" xfId="4292" xr:uid="{00000000-0005-0000-0000-000052100000}"/>
    <cellStyle name="Millares 9 2 2 2 2 3" xfId="1919" xr:uid="{00000000-0005-0000-0000-000053100000}"/>
    <cellStyle name="Millares 9 2 2 2 2 4" xfId="3501" xr:uid="{00000000-0005-0000-0000-000054100000}"/>
    <cellStyle name="Millares 9 2 2 2 3" xfId="2316" xr:uid="{00000000-0005-0000-0000-000055100000}"/>
    <cellStyle name="Millares 9 2 2 2 3 2" xfId="3898" xr:uid="{00000000-0005-0000-0000-000056100000}"/>
    <cellStyle name="Millares 9 2 2 2 4" xfId="1525" xr:uid="{00000000-0005-0000-0000-000057100000}"/>
    <cellStyle name="Millares 9 2 2 2 5" xfId="3107" xr:uid="{00000000-0005-0000-0000-000058100000}"/>
    <cellStyle name="Millares 9 2 2 3" xfId="906" xr:uid="{00000000-0005-0000-0000-000059100000}"/>
    <cellStyle name="Millares 9 2 2 3 2" xfId="2489" xr:uid="{00000000-0005-0000-0000-00005A100000}"/>
    <cellStyle name="Millares 9 2 2 3 2 2" xfId="4071" xr:uid="{00000000-0005-0000-0000-00005B100000}"/>
    <cellStyle name="Millares 9 2 2 3 3" xfId="1698" xr:uid="{00000000-0005-0000-0000-00005C100000}"/>
    <cellStyle name="Millares 9 2 2 3 4" xfId="3280" xr:uid="{00000000-0005-0000-0000-00005D100000}"/>
    <cellStyle name="Millares 9 2 2 4" xfId="2095" xr:uid="{00000000-0005-0000-0000-00005E100000}"/>
    <cellStyle name="Millares 9 2 2 4 2" xfId="3677" xr:uid="{00000000-0005-0000-0000-00005F100000}"/>
    <cellStyle name="Millares 9 2 2 5" xfId="1304" xr:uid="{00000000-0005-0000-0000-000060100000}"/>
    <cellStyle name="Millares 9 2 2 6" xfId="2886" xr:uid="{00000000-0005-0000-0000-000061100000}"/>
    <cellStyle name="Millares 9 2 3" xfId="576" xr:uid="{00000000-0005-0000-0000-000062100000}"/>
    <cellStyle name="Millares 9 2 3 2" xfId="983" xr:uid="{00000000-0005-0000-0000-000063100000}"/>
    <cellStyle name="Millares 9 2 3 2 2" xfId="2566" xr:uid="{00000000-0005-0000-0000-000064100000}"/>
    <cellStyle name="Millares 9 2 3 2 2 2" xfId="4148" xr:uid="{00000000-0005-0000-0000-000065100000}"/>
    <cellStyle name="Millares 9 2 3 2 3" xfId="1775" xr:uid="{00000000-0005-0000-0000-000066100000}"/>
    <cellStyle name="Millares 9 2 3 2 4" xfId="3357" xr:uid="{00000000-0005-0000-0000-000067100000}"/>
    <cellStyle name="Millares 9 2 3 3" xfId="2172" xr:uid="{00000000-0005-0000-0000-000068100000}"/>
    <cellStyle name="Millares 9 2 3 3 2" xfId="3754" xr:uid="{00000000-0005-0000-0000-000069100000}"/>
    <cellStyle name="Millares 9 2 3 4" xfId="1381" xr:uid="{00000000-0005-0000-0000-00006A100000}"/>
    <cellStyle name="Millares 9 2 3 5" xfId="2963" xr:uid="{00000000-0005-0000-0000-00006B100000}"/>
    <cellStyle name="Millares 9 2 4" xfId="651" xr:uid="{00000000-0005-0000-0000-00006C100000}"/>
    <cellStyle name="Millares 9 2 4 2" xfId="1051" xr:uid="{00000000-0005-0000-0000-00006D100000}"/>
    <cellStyle name="Millares 9 2 4 2 2" xfId="2634" xr:uid="{00000000-0005-0000-0000-00006E100000}"/>
    <cellStyle name="Millares 9 2 4 2 2 2" xfId="4216" xr:uid="{00000000-0005-0000-0000-00006F100000}"/>
    <cellStyle name="Millares 9 2 4 2 3" xfId="1843" xr:uid="{00000000-0005-0000-0000-000070100000}"/>
    <cellStyle name="Millares 9 2 4 2 4" xfId="3425" xr:uid="{00000000-0005-0000-0000-000071100000}"/>
    <cellStyle name="Millares 9 2 4 3" xfId="2240" xr:uid="{00000000-0005-0000-0000-000072100000}"/>
    <cellStyle name="Millares 9 2 4 3 2" xfId="3822" xr:uid="{00000000-0005-0000-0000-000073100000}"/>
    <cellStyle name="Millares 9 2 4 4" xfId="1449" xr:uid="{00000000-0005-0000-0000-000074100000}"/>
    <cellStyle name="Millares 9 2 4 5" xfId="3031" xr:uid="{00000000-0005-0000-0000-000075100000}"/>
    <cellStyle name="Millares 9 2 5" xfId="830" xr:uid="{00000000-0005-0000-0000-000076100000}"/>
    <cellStyle name="Millares 9 2 5 2" xfId="2413" xr:uid="{00000000-0005-0000-0000-000077100000}"/>
    <cellStyle name="Millares 9 2 5 2 2" xfId="3995" xr:uid="{00000000-0005-0000-0000-000078100000}"/>
    <cellStyle name="Millares 9 2 5 3" xfId="1622" xr:uid="{00000000-0005-0000-0000-000079100000}"/>
    <cellStyle name="Millares 9 2 5 4" xfId="3204" xr:uid="{00000000-0005-0000-0000-00007A100000}"/>
    <cellStyle name="Millares 9 2 6" xfId="2019" xr:uid="{00000000-0005-0000-0000-00007B100000}"/>
    <cellStyle name="Millares 9 2 6 2" xfId="3601" xr:uid="{00000000-0005-0000-0000-00007C100000}"/>
    <cellStyle name="Millares 9 2 7" xfId="1228" xr:uid="{00000000-0005-0000-0000-00007D100000}"/>
    <cellStyle name="Millares 9 2 8" xfId="2810" xr:uid="{00000000-0005-0000-0000-00007E100000}"/>
    <cellStyle name="Millares 9 3" xfId="458" xr:uid="{00000000-0005-0000-0000-00007F100000}"/>
    <cellStyle name="Millares 9 3 2" xfId="686" xr:uid="{00000000-0005-0000-0000-000080100000}"/>
    <cellStyle name="Millares 9 3 2 2" xfId="1086" xr:uid="{00000000-0005-0000-0000-000081100000}"/>
    <cellStyle name="Millares 9 3 2 2 2" xfId="2669" xr:uid="{00000000-0005-0000-0000-000082100000}"/>
    <cellStyle name="Millares 9 3 2 2 2 2" xfId="4251" xr:uid="{00000000-0005-0000-0000-000083100000}"/>
    <cellStyle name="Millares 9 3 2 2 3" xfId="1878" xr:uid="{00000000-0005-0000-0000-000084100000}"/>
    <cellStyle name="Millares 9 3 2 2 4" xfId="3460" xr:uid="{00000000-0005-0000-0000-000085100000}"/>
    <cellStyle name="Millares 9 3 2 3" xfId="2275" xr:uid="{00000000-0005-0000-0000-000086100000}"/>
    <cellStyle name="Millares 9 3 2 3 2" xfId="3857" xr:uid="{00000000-0005-0000-0000-000087100000}"/>
    <cellStyle name="Millares 9 3 2 4" xfId="1484" xr:uid="{00000000-0005-0000-0000-000088100000}"/>
    <cellStyle name="Millares 9 3 2 5" xfId="3066" xr:uid="{00000000-0005-0000-0000-000089100000}"/>
    <cellStyle name="Millares 9 3 3" xfId="865" xr:uid="{00000000-0005-0000-0000-00008A100000}"/>
    <cellStyle name="Millares 9 3 3 2" xfId="2448" xr:uid="{00000000-0005-0000-0000-00008B100000}"/>
    <cellStyle name="Millares 9 3 3 2 2" xfId="4030" xr:uid="{00000000-0005-0000-0000-00008C100000}"/>
    <cellStyle name="Millares 9 3 3 3" xfId="1657" xr:uid="{00000000-0005-0000-0000-00008D100000}"/>
    <cellStyle name="Millares 9 3 3 4" xfId="3239" xr:uid="{00000000-0005-0000-0000-00008E100000}"/>
    <cellStyle name="Millares 9 3 4" xfId="2054" xr:uid="{00000000-0005-0000-0000-00008F100000}"/>
    <cellStyle name="Millares 9 3 4 2" xfId="3636" xr:uid="{00000000-0005-0000-0000-000090100000}"/>
    <cellStyle name="Millares 9 3 5" xfId="1263" xr:uid="{00000000-0005-0000-0000-000091100000}"/>
    <cellStyle name="Millares 9 3 6" xfId="2845" xr:uid="{00000000-0005-0000-0000-000092100000}"/>
    <cellStyle name="Millares 9 4" xfId="535" xr:uid="{00000000-0005-0000-0000-000093100000}"/>
    <cellStyle name="Millares 9 4 2" xfId="942" xr:uid="{00000000-0005-0000-0000-000094100000}"/>
    <cellStyle name="Millares 9 4 2 2" xfId="2525" xr:uid="{00000000-0005-0000-0000-000095100000}"/>
    <cellStyle name="Millares 9 4 2 2 2" xfId="4107" xr:uid="{00000000-0005-0000-0000-000096100000}"/>
    <cellStyle name="Millares 9 4 2 3" xfId="1734" xr:uid="{00000000-0005-0000-0000-000097100000}"/>
    <cellStyle name="Millares 9 4 2 4" xfId="3316" xr:uid="{00000000-0005-0000-0000-000098100000}"/>
    <cellStyle name="Millares 9 4 3" xfId="2131" xr:uid="{00000000-0005-0000-0000-000099100000}"/>
    <cellStyle name="Millares 9 4 3 2" xfId="3713" xr:uid="{00000000-0005-0000-0000-00009A100000}"/>
    <cellStyle name="Millares 9 4 4" xfId="1340" xr:uid="{00000000-0005-0000-0000-00009B100000}"/>
    <cellStyle name="Millares 9 4 5" xfId="2922" xr:uid="{00000000-0005-0000-0000-00009C100000}"/>
    <cellStyle name="Millares 9 5" xfId="610" xr:uid="{00000000-0005-0000-0000-00009D100000}"/>
    <cellStyle name="Millares 9 5 2" xfId="1010" xr:uid="{00000000-0005-0000-0000-00009E100000}"/>
    <cellStyle name="Millares 9 5 2 2" xfId="2593" xr:uid="{00000000-0005-0000-0000-00009F100000}"/>
    <cellStyle name="Millares 9 5 2 2 2" xfId="4175" xr:uid="{00000000-0005-0000-0000-0000A0100000}"/>
    <cellStyle name="Millares 9 5 2 3" xfId="1802" xr:uid="{00000000-0005-0000-0000-0000A1100000}"/>
    <cellStyle name="Millares 9 5 2 4" xfId="3384" xr:uid="{00000000-0005-0000-0000-0000A2100000}"/>
    <cellStyle name="Millares 9 5 3" xfId="2199" xr:uid="{00000000-0005-0000-0000-0000A3100000}"/>
    <cellStyle name="Millares 9 5 3 2" xfId="3781" xr:uid="{00000000-0005-0000-0000-0000A4100000}"/>
    <cellStyle name="Millares 9 5 4" xfId="1408" xr:uid="{00000000-0005-0000-0000-0000A5100000}"/>
    <cellStyle name="Millares 9 5 5" xfId="2990" xr:uid="{00000000-0005-0000-0000-0000A6100000}"/>
    <cellStyle name="Millares 9 6" xfId="762" xr:uid="{00000000-0005-0000-0000-0000A7100000}"/>
    <cellStyle name="Millares 9 6 2" xfId="1162" xr:uid="{00000000-0005-0000-0000-0000A8100000}"/>
    <cellStyle name="Millares 9 6 2 2" xfId="2745" xr:uid="{00000000-0005-0000-0000-0000A9100000}"/>
    <cellStyle name="Millares 9 6 2 2 2" xfId="4327" xr:uid="{00000000-0005-0000-0000-0000AA100000}"/>
    <cellStyle name="Millares 9 6 2 3" xfId="1954" xr:uid="{00000000-0005-0000-0000-0000AB100000}"/>
    <cellStyle name="Millares 9 6 2 4" xfId="3536" xr:uid="{00000000-0005-0000-0000-0000AC100000}"/>
    <cellStyle name="Millares 9 6 3" xfId="2351" xr:uid="{00000000-0005-0000-0000-0000AD100000}"/>
    <cellStyle name="Millares 9 6 3 2" xfId="3933" xr:uid="{00000000-0005-0000-0000-0000AE100000}"/>
    <cellStyle name="Millares 9 6 4" xfId="1560" xr:uid="{00000000-0005-0000-0000-0000AF100000}"/>
    <cellStyle name="Millares 9 6 5" xfId="3142" xr:uid="{00000000-0005-0000-0000-0000B0100000}"/>
    <cellStyle name="Millares 9 7" xfId="789" xr:uid="{00000000-0005-0000-0000-0000B1100000}"/>
    <cellStyle name="Millares 9 7 2" xfId="2372" xr:uid="{00000000-0005-0000-0000-0000B2100000}"/>
    <cellStyle name="Millares 9 7 2 2" xfId="3954" xr:uid="{00000000-0005-0000-0000-0000B3100000}"/>
    <cellStyle name="Millares 9 7 3" xfId="1581" xr:uid="{00000000-0005-0000-0000-0000B4100000}"/>
    <cellStyle name="Millares 9 7 4" xfId="3163" xr:uid="{00000000-0005-0000-0000-0000B5100000}"/>
    <cellStyle name="Millares 9 8" xfId="1978" xr:uid="{00000000-0005-0000-0000-0000B6100000}"/>
    <cellStyle name="Millares 9 8 2" xfId="3560" xr:uid="{00000000-0005-0000-0000-0000B7100000}"/>
    <cellStyle name="Millares 9 9" xfId="1187" xr:uid="{00000000-0005-0000-0000-0000B8100000}"/>
    <cellStyle name="Moneda [0] 2" xfId="4609" xr:uid="{8A811AEB-040B-45F5-9423-1AF1C878F8F0}"/>
    <cellStyle name="Moneda [0] 2 2" xfId="4799" xr:uid="{53FCFBF5-1D8C-420D-B3DF-FDC6E1346304}"/>
    <cellStyle name="Moneda [0] 2 2 2" xfId="5098" xr:uid="{717CB445-0DC8-45E9-A04E-8E17FDD060ED}"/>
    <cellStyle name="Moneda [0] 2 3" xfId="4894" xr:uid="{9A296AAE-03F0-4532-AB70-201268F1F915}"/>
    <cellStyle name="Moneda [0] 2 3 2" xfId="5179" xr:uid="{DA76DEFB-55C7-4163-B4C2-7A8EF77FE25A}"/>
    <cellStyle name="Moneda [0] 2 4" xfId="4987" xr:uid="{DFDD8CD0-BC11-49AD-80F6-A62CDEE7A7B4}"/>
    <cellStyle name="Moneda [0] 3" xfId="4798" xr:uid="{D138809F-8A97-4C93-BAAB-22EF1128E54D}"/>
    <cellStyle name="Moneda [0] 3 2" xfId="5097" xr:uid="{D897CE4C-3427-4577-BF31-92FC0731B201}"/>
    <cellStyle name="Moneda [0] 4" xfId="4895" xr:uid="{3FAE3CCC-7345-4EE2-90B9-533377DE3F15}"/>
    <cellStyle name="Moneda [0] 4 2" xfId="5180" xr:uid="{BE5AF9DF-CBD8-4A6E-8651-51D52D477C3D}"/>
    <cellStyle name="Moneda0" xfId="214" xr:uid="{00000000-0005-0000-0000-0000B9100000}"/>
    <cellStyle name="Monetario" xfId="215" xr:uid="{00000000-0005-0000-0000-0000BA100000}"/>
    <cellStyle name="Monetario0" xfId="216" xr:uid="{00000000-0005-0000-0000-0000BB100000}"/>
    <cellStyle name="Neutral" xfId="4357" builtinId="28" customBuiltin="1"/>
    <cellStyle name="Neutral 2" xfId="590" xr:uid="{00000000-0005-0000-0000-0000BC100000}"/>
    <cellStyle name="Neutral 2 2" xfId="4599" xr:uid="{A6BB095D-4AC6-4625-9E32-9325CFBF67D9}"/>
    <cellStyle name="Neutral 2 3" xfId="4385" xr:uid="{255FF8F9-8204-47A3-8FC0-7AC634C99865}"/>
    <cellStyle name="Neutral 3" xfId="57" xr:uid="{00000000-0005-0000-0000-0000BD100000}"/>
    <cellStyle name="No-definido" xfId="217" xr:uid="{00000000-0005-0000-0000-0000BE100000}"/>
    <cellStyle name="Normal" xfId="0" builtinId="0"/>
    <cellStyle name="Normal - Formatvorlage1" xfId="218" xr:uid="{00000000-0005-0000-0000-0000C0100000}"/>
    <cellStyle name="Normal - Style1" xfId="219" xr:uid="{00000000-0005-0000-0000-0000C1100000}"/>
    <cellStyle name="Normal 10" xfId="289" xr:uid="{00000000-0005-0000-0000-0000C2100000}"/>
    <cellStyle name="Normal 10 2" xfId="4381" xr:uid="{16C44B47-FB17-4330-BCEE-DEEB9E3DDD35}"/>
    <cellStyle name="Normal 11" xfId="1171" xr:uid="{00000000-0005-0000-0000-0000C3100000}"/>
    <cellStyle name="Normal 11 2" xfId="4600" xr:uid="{2A25D783-F361-4D13-8D6A-A8895FE86F39}"/>
    <cellStyle name="Normal 11 3" xfId="4395" xr:uid="{DAD27AB6-2779-431F-805C-9D4CB8C427AD}"/>
    <cellStyle name="Normal 12" xfId="1173" xr:uid="{00000000-0005-0000-0000-0000C4100000}"/>
    <cellStyle name="Normal 12 2" xfId="4421" xr:uid="{D12E2DCF-18CC-4F92-9E5C-F23E5082EF4B}"/>
    <cellStyle name="Normal 13" xfId="4444" xr:uid="{72A33D8E-9BF1-4AAA-AF26-A1413DA1B946}"/>
    <cellStyle name="Normal 13 2" xfId="4469" xr:uid="{7B735088-853A-48A3-BB87-1D1A781A0699}"/>
    <cellStyle name="Normal 14" xfId="4480" xr:uid="{E5DB8FD5-81DD-4342-AAF7-CF416F70D411}"/>
    <cellStyle name="Normal 140" xfId="4367" xr:uid="{E3A4EDFC-E1F6-45C7-93C5-AE1CCB97948B}"/>
    <cellStyle name="Normal 15" xfId="4511" xr:uid="{E668DEF1-FB91-497F-831E-FB7EF77407A3}"/>
    <cellStyle name="Normal 16" xfId="4611" xr:uid="{D2CD9F1C-565A-468E-BD46-3D4FC9A604B4}"/>
    <cellStyle name="Normal 2" xfId="13" xr:uid="{00000000-0005-0000-0000-0000C5100000}"/>
    <cellStyle name="Normal 2 2" xfId="14" xr:uid="{00000000-0005-0000-0000-0000C6100000}"/>
    <cellStyle name="Normal 2 2 2" xfId="20" xr:uid="{00000000-0005-0000-0000-0000C7100000}"/>
    <cellStyle name="Normal 2 3" xfId="220" xr:uid="{00000000-0005-0000-0000-0000C8100000}"/>
    <cellStyle name="Normal 2 3 2" xfId="4471" xr:uid="{E604DFFD-C847-47D6-B1D7-1A2E166940DC}"/>
    <cellStyle name="Normal 2 3 3" xfId="4601" xr:uid="{8AACEED3-587C-4CC2-B0A8-A218B3EDAD6A}"/>
    <cellStyle name="Normal 2 3 4" xfId="4446" xr:uid="{54BBB623-3E26-47EB-BE14-1B21183D6BE0}"/>
    <cellStyle name="Normal 2_12000 ESTADOS FINANCIEROS IFRS DICIEMBRE 2008" xfId="221" xr:uid="{00000000-0005-0000-0000-0000C9100000}"/>
    <cellStyle name="Normal 3" xfId="3" xr:uid="{00000000-0005-0000-0000-0000CA100000}"/>
    <cellStyle name="Normal 3 2" xfId="16" xr:uid="{00000000-0005-0000-0000-0000CB100000}"/>
    <cellStyle name="Normal 3 3" xfId="15" xr:uid="{00000000-0005-0000-0000-0000CC100000}"/>
    <cellStyle name="Normal 3 3 2" xfId="4602" xr:uid="{FDE54023-B2AD-4F20-AE10-0E4BF688041C}"/>
    <cellStyle name="Normal 3 4" xfId="292" xr:uid="{00000000-0005-0000-0000-0000CD100000}"/>
    <cellStyle name="Normal 3 5" xfId="65" xr:uid="{00000000-0005-0000-0000-0000CE100000}"/>
    <cellStyle name="Normal 3 6" xfId="4368" xr:uid="{61DF476D-7CB1-403C-9ED2-2113744CADF0}"/>
    <cellStyle name="Normal 4" xfId="6" xr:uid="{00000000-0005-0000-0000-0000CF100000}"/>
    <cellStyle name="Normal 4 2" xfId="223" xr:uid="{00000000-0005-0000-0000-0000D0100000}"/>
    <cellStyle name="Normal 4 3" xfId="222" xr:uid="{00000000-0005-0000-0000-0000D1100000}"/>
    <cellStyle name="Normal 4_IFRS MARZ-JUN-DIC DTT" xfId="224" xr:uid="{00000000-0005-0000-0000-0000D2100000}"/>
    <cellStyle name="Normal 5" xfId="9" xr:uid="{00000000-0005-0000-0000-0000D3100000}"/>
    <cellStyle name="Normal 5 2" xfId="4371" xr:uid="{5E4E68CA-8CE6-4053-A2DD-FCE0C118776F}"/>
    <cellStyle name="Normal 5 3" xfId="4417" xr:uid="{135AACAF-B671-4148-9B88-647D4EDD2E0B}"/>
    <cellStyle name="Normal 6" xfId="286" xr:uid="{00000000-0005-0000-0000-0000D4100000}"/>
    <cellStyle name="Normal 6 2" xfId="4377" xr:uid="{02F700C6-F52A-4323-9BD9-81134C91DF0A}"/>
    <cellStyle name="Normal 6 3" xfId="4374" xr:uid="{6D5815A3-D8DE-48FD-A098-F2D910AF2413}"/>
    <cellStyle name="Normal 6 4" xfId="4603" xr:uid="{B8F1DDB7-9E4D-4F4D-8C9C-99D554D70392}"/>
    <cellStyle name="Normal 6 5" xfId="4369" xr:uid="{0CF6710C-70CA-45DB-B816-E173A9CF4116}"/>
    <cellStyle name="Normal 7" xfId="22" xr:uid="{00000000-0005-0000-0000-0000D5100000}"/>
    <cellStyle name="Normal 7 2" xfId="225" xr:uid="{00000000-0005-0000-0000-0000D6100000}"/>
    <cellStyle name="Normal 7 2 2" xfId="4396" xr:uid="{4F50A413-BF02-49F0-9B52-41EE90B8E7EE}"/>
    <cellStyle name="Normal 8" xfId="287" xr:uid="{00000000-0005-0000-0000-0000D7100000}"/>
    <cellStyle name="Normal 8 2" xfId="4378" xr:uid="{69DD8CE5-D28F-4999-A43B-572CC178A390}"/>
    <cellStyle name="Normal 8 3" xfId="4604" xr:uid="{210E5AB0-9BB7-4EE1-BBA8-2602890A2C92}"/>
    <cellStyle name="Normal 8 4" xfId="4370" xr:uid="{4C67471E-E969-406F-BD50-D952799BE5AA}"/>
    <cellStyle name="Normal 85" xfId="429" xr:uid="{00000000-0005-0000-0000-0000D8100000}"/>
    <cellStyle name="Normal 9" xfId="288" xr:uid="{00000000-0005-0000-0000-0000D9100000}"/>
    <cellStyle name="Normal 9 2" xfId="4454" xr:uid="{FBFC1ED0-4F7F-4918-90E3-130044B90E32}"/>
    <cellStyle name="Note" xfId="34" builtinId="10" customBuiltin="1"/>
    <cellStyle name="Note 2" xfId="226" xr:uid="{00000000-0005-0000-0000-0000DB100000}"/>
    <cellStyle name="Note 2 2" xfId="776" xr:uid="{00000000-0005-0000-0000-0000DC100000}"/>
    <cellStyle name="Note 2 2 2" xfId="4792" xr:uid="{6FDF913C-C9B9-49F7-A040-D785668951BC}"/>
    <cellStyle name="Note 2 2 3" xfId="4803" xr:uid="{7408BFE7-1E32-4061-90AA-4414F01CB45A}"/>
    <cellStyle name="Note 2 3" xfId="4791" xr:uid="{EC37B6E0-3FCE-4D5C-8322-41E729BEB592}"/>
    <cellStyle name="Note 2 4" xfId="4802" xr:uid="{2877C205-812B-4B7B-8237-255939E8C984}"/>
    <cellStyle name="Output" xfId="29" builtinId="21" customBuiltin="1"/>
    <cellStyle name="Output 2" xfId="227" xr:uid="{00000000-0005-0000-0000-0000DD100000}"/>
    <cellStyle name="Output 2 2" xfId="777" xr:uid="{00000000-0005-0000-0000-0000DE100000}"/>
    <cellStyle name="Output 2 2 2" xfId="4794" xr:uid="{71EB01F6-F8B9-4832-AB78-92BC36F35E45}"/>
    <cellStyle name="Output 2 2 3" xfId="4805" xr:uid="{9BC946EF-7A67-454E-A038-4AD2AF56C2C5}"/>
    <cellStyle name="Output 2 3" xfId="4793" xr:uid="{C260CE38-FAD2-485F-A65E-D98A5A2B15B4}"/>
    <cellStyle name="Output 2 4" xfId="4804" xr:uid="{46D6762F-AB65-4F84-AFF6-ECEF0054927A}"/>
    <cellStyle name="Percent" xfId="2" builtinId="5"/>
    <cellStyle name="Percent %" xfId="228" xr:uid="{00000000-0005-0000-0000-0000E0100000}"/>
    <cellStyle name="Percent % Long Underline" xfId="229" xr:uid="{00000000-0005-0000-0000-0000E1100000}"/>
    <cellStyle name="Percent %_Caso 10" xfId="230" xr:uid="{00000000-0005-0000-0000-0000E2100000}"/>
    <cellStyle name="Percent (0)" xfId="231" xr:uid="{00000000-0005-0000-0000-0000E3100000}"/>
    <cellStyle name="Percent [2]" xfId="232" xr:uid="{00000000-0005-0000-0000-0000E4100000}"/>
    <cellStyle name="Percent 0.0%" xfId="233" xr:uid="{00000000-0005-0000-0000-0000E5100000}"/>
    <cellStyle name="Percent 0.0% Long Underline" xfId="234" xr:uid="{00000000-0005-0000-0000-0000E6100000}"/>
    <cellStyle name="Percent 0.0%_Caso 10" xfId="235" xr:uid="{00000000-0005-0000-0000-0000E7100000}"/>
    <cellStyle name="Percent 0.00%" xfId="236" xr:uid="{00000000-0005-0000-0000-0000E8100000}"/>
    <cellStyle name="Percent 0.00% Long Underline" xfId="237" xr:uid="{00000000-0005-0000-0000-0000E9100000}"/>
    <cellStyle name="Percent 0.00%_Caso 10" xfId="238" xr:uid="{00000000-0005-0000-0000-0000EA100000}"/>
    <cellStyle name="Percent 0.000%" xfId="239" xr:uid="{00000000-0005-0000-0000-0000EB100000}"/>
    <cellStyle name="Percent 0.000% Long Underline" xfId="240" xr:uid="{00000000-0005-0000-0000-0000EC100000}"/>
    <cellStyle name="Percent 0.000%_Caso 10" xfId="241" xr:uid="{00000000-0005-0000-0000-0000ED100000}"/>
    <cellStyle name="Percent 2" xfId="242" xr:uid="{00000000-0005-0000-0000-0000EE100000}"/>
    <cellStyle name="Percent 2 2" xfId="243" xr:uid="{00000000-0005-0000-0000-0000EF100000}"/>
    <cellStyle name="Percent 2 2 2" xfId="244" xr:uid="{00000000-0005-0000-0000-0000F0100000}"/>
    <cellStyle name="Percent 3" xfId="245" xr:uid="{00000000-0005-0000-0000-0000F1100000}"/>
    <cellStyle name="Percent 4" xfId="246" xr:uid="{00000000-0005-0000-0000-0000F2100000}"/>
    <cellStyle name="Porcen - Estilo2" xfId="247" xr:uid="{00000000-0005-0000-0000-0000F3100000}"/>
    <cellStyle name="Porcentaje 2" xfId="17" xr:uid="{00000000-0005-0000-0000-0000F5100000}"/>
    <cellStyle name="Porcentaje 2 2" xfId="430" xr:uid="{00000000-0005-0000-0000-0000F6100000}"/>
    <cellStyle name="Porcentaje 3" xfId="248" xr:uid="{00000000-0005-0000-0000-0000F7100000}"/>
    <cellStyle name="Porcentaje 3 2" xfId="4513" xr:uid="{5D8F450C-9FBF-4C04-BDDD-7459CD04E4F1}"/>
    <cellStyle name="Porcentaje 4" xfId="4605" xr:uid="{228920DF-5E35-4C80-AC81-19C858C112CE}"/>
    <cellStyle name="Porcentual 2" xfId="18" xr:uid="{00000000-0005-0000-0000-0000F8100000}"/>
    <cellStyle name="Porcentual 2 2" xfId="4412" xr:uid="{DFBE435D-2981-4D56-9B27-3C50B92345F9}"/>
    <cellStyle name="Porcentual 2 3" xfId="4379" xr:uid="{200BE1A7-4889-4FE5-B4E8-D6BC7BFA0105}"/>
    <cellStyle name="Porcentual 3" xfId="19" xr:uid="{00000000-0005-0000-0000-0000F9100000}"/>
    <cellStyle name="Porcentual 3 2" xfId="4394" xr:uid="{FDBE9461-0BA6-45EC-B59B-2E51776DE768}"/>
    <cellStyle name="Protected" xfId="249" xr:uid="{00000000-0005-0000-0000-0000FA100000}"/>
    <cellStyle name="PSChar" xfId="250" xr:uid="{00000000-0005-0000-0000-0000FB100000}"/>
    <cellStyle name="PSDate" xfId="251" xr:uid="{00000000-0005-0000-0000-0000FC100000}"/>
    <cellStyle name="PSDec" xfId="252" xr:uid="{00000000-0005-0000-0000-0000FD100000}"/>
    <cellStyle name="PSHeading" xfId="253" xr:uid="{00000000-0005-0000-0000-0000FE100000}"/>
    <cellStyle name="PSHeading 2" xfId="4796" xr:uid="{425FC160-3973-4816-BB93-D357534A5B59}"/>
    <cellStyle name="PSHeading 2 2" xfId="4897" xr:uid="{74F28B14-C2DA-4D7B-8A3C-30E8BB23A0F1}"/>
    <cellStyle name="PSHeading 2 2 2" xfId="5192" xr:uid="{F9A05CEB-9E43-492D-90B2-08E51546EF65}"/>
    <cellStyle name="PSHeading 2 3" xfId="5182" xr:uid="{8413FF72-104A-40AB-90F1-1030913C63EA}"/>
    <cellStyle name="PSHeading 3" xfId="4606" xr:uid="{1F074FB0-DF53-447C-90FF-17ECAF3B6849}"/>
    <cellStyle name="PSHeading 3 2" xfId="5188" xr:uid="{CEFAA23B-165E-480B-A930-72772580352F}"/>
    <cellStyle name="PSHeading 4" xfId="4984" xr:uid="{C4F2EE2D-416F-49D6-B537-B4F29699D1C6}"/>
    <cellStyle name="PSInt" xfId="254" xr:uid="{00000000-0005-0000-0000-0000FF100000}"/>
    <cellStyle name="PSSpacer" xfId="255" xr:uid="{00000000-0005-0000-0000-000000110000}"/>
    <cellStyle name="Punto" xfId="256" xr:uid="{00000000-0005-0000-0000-000001110000}"/>
    <cellStyle name="Punto0" xfId="257" xr:uid="{00000000-0005-0000-0000-000002110000}"/>
    <cellStyle name="Punto0 - Estilo1" xfId="258" xr:uid="{00000000-0005-0000-0000-000003110000}"/>
    <cellStyle name="Punto0 - Estilo3" xfId="259" xr:uid="{00000000-0005-0000-0000-000004110000}"/>
    <cellStyle name="Punto0 - Estilo4" xfId="260" xr:uid="{00000000-0005-0000-0000-000005110000}"/>
    <cellStyle name="Punto0_11 OR AT 2006 Payback S A al 31 12 05 (Definitivo) al 24.01.06" xfId="261" xr:uid="{00000000-0005-0000-0000-000006110000}"/>
    <cellStyle name="Punto1 - Estilo1" xfId="262" xr:uid="{00000000-0005-0000-0000-000007110000}"/>
    <cellStyle name="Standard_FORMA-1" xfId="263" xr:uid="{00000000-0005-0000-0000-000009110000}"/>
    <cellStyle name="Style 1" xfId="264" xr:uid="{00000000-0005-0000-0000-00000A110000}"/>
    <cellStyle name="Style 2" xfId="265" xr:uid="{00000000-0005-0000-0000-00000B110000}"/>
    <cellStyle name="subgroup" xfId="266" xr:uid="{00000000-0005-0000-0000-00000C110000}"/>
    <cellStyle name="SubHead" xfId="267" xr:uid="{00000000-0005-0000-0000-00000D110000}"/>
    <cellStyle name="Subtotal" xfId="268" xr:uid="{00000000-0005-0000-0000-00000E110000}"/>
    <cellStyle name="Tickmark" xfId="269" xr:uid="{00000000-0005-0000-0000-000011110000}"/>
    <cellStyle name="Title" xfId="4355" builtinId="15" customBuiltin="1"/>
    <cellStyle name="Title 2" xfId="270" xr:uid="{00000000-0005-0000-0000-000012110000}"/>
    <cellStyle name="Título 4" xfId="343" xr:uid="{00000000-0005-0000-0000-000016110000}"/>
    <cellStyle name="Título 5" xfId="55" xr:uid="{00000000-0005-0000-0000-000017110000}"/>
    <cellStyle name="Total" xfId="36" builtinId="25" customBuiltin="1"/>
    <cellStyle name="Total 2" xfId="4386" xr:uid="{1A67B769-1B75-4F3C-8283-AD7D22C1A0D3}"/>
    <cellStyle name="Total 2 2" xfId="4399" xr:uid="{3C95CA9E-8F55-4FB5-972E-B804AC1F08B0}"/>
    <cellStyle name="Total 2 2 2" xfId="4434" xr:uid="{429E38EE-4FE7-46FA-9B1F-46A63CD49293}"/>
    <cellStyle name="Total 2 2 2 2" xfId="4474" xr:uid="{2BC7A3BC-6230-4ABE-9E88-A4452B1490B3}"/>
    <cellStyle name="Total 2 2 2 2 2" xfId="4671" xr:uid="{AFF99B1D-5604-4852-9BA8-9EECD23724CF}"/>
    <cellStyle name="Total 2 2 2 2 3" xfId="4481" xr:uid="{4C28D9F4-83B7-442F-93BE-04A43282E761}"/>
    <cellStyle name="Total 2 2 2 2 3 2" xfId="4677" xr:uid="{8FF2A852-6048-43F4-AEE8-9E6DA67C693E}"/>
    <cellStyle name="Total 2 2 2 2 4" xfId="4496" xr:uid="{376C0968-CD7E-4F61-A808-7630BBE864D3}"/>
    <cellStyle name="Total 2 2 2 2 4 2" xfId="4692" xr:uid="{8BF0F241-7255-462E-A888-7644A6ED88C0}"/>
    <cellStyle name="Total 2 2 2 3" xfId="4449" xr:uid="{3666B7B9-9070-4EDF-B267-158036E75F2E}"/>
    <cellStyle name="Total 2 2 2 3 2" xfId="4482" xr:uid="{A0928FF9-56DD-4948-AAAF-C1F1D278E6CD}"/>
    <cellStyle name="Total 2 2 2 3 2 2" xfId="4678" xr:uid="{DDEAAC69-93C5-442C-BDAF-7A875950D220}"/>
    <cellStyle name="Total 2 2 2 3 3" xfId="4497" xr:uid="{9297D691-0B90-49E3-B717-047E1279335C}"/>
    <cellStyle name="Total 2 2 2 3 3 2" xfId="4693" xr:uid="{BF802803-139F-49E2-806C-0E39B40D817F}"/>
    <cellStyle name="Total 2 2 2 3 4" xfId="4664" xr:uid="{2E5513A2-9CB9-4E16-A987-BD56AF5DCAC7}"/>
    <cellStyle name="Total 2 2 2 4" xfId="4658" xr:uid="{C07EEC4D-6100-4429-B53A-C987CB058E9C}"/>
    <cellStyle name="Total 2 2 3" xfId="4453" xr:uid="{4350767E-A420-430C-8B97-709DD1EB128F}"/>
    <cellStyle name="Total 2 2 3 2" xfId="4483" xr:uid="{486E6767-E47A-47EC-9245-FCD68DED3ECB}"/>
    <cellStyle name="Total 2 2 3 2 2" xfId="4679" xr:uid="{B2AFF1D2-E11A-466C-B1B3-3B2CAD504CEE}"/>
    <cellStyle name="Total 2 2 3 3" xfId="4498" xr:uid="{2F6BD241-69EE-4844-99E5-D44D93277B65}"/>
    <cellStyle name="Total 2 2 3 3 2" xfId="4694" xr:uid="{00A413E9-145E-46D8-9B90-5D50730CFB1F}"/>
    <cellStyle name="Total 2 2 3 4" xfId="4668" xr:uid="{CCF3AFE0-C5D2-4CE9-9816-69E3731F40E7}"/>
    <cellStyle name="Total 2 2 4" xfId="4633" xr:uid="{2EF4E2D5-7BCA-4636-85A9-803A80B6EFFD}"/>
    <cellStyle name="Total 2 3" xfId="4400" xr:uid="{86ECE216-11EA-4609-859D-5C039615124A}"/>
    <cellStyle name="Total 2 3 2" xfId="4435" xr:uid="{6D3CB9CB-ACF0-421B-9729-E7486926EE60}"/>
    <cellStyle name="Total 2 3 2 2" xfId="4475" xr:uid="{9048EFAC-ECED-407F-902A-CFC0B99873B8}"/>
    <cellStyle name="Total 2 3 2 2 2" xfId="4672" xr:uid="{762D9282-6DDF-403B-BBF8-E4D1AD779B79}"/>
    <cellStyle name="Total 2 3 2 2 3" xfId="4484" xr:uid="{03AF57E1-A8A4-478D-B88C-680D5A1B2916}"/>
    <cellStyle name="Total 2 3 2 2 3 2" xfId="4680" xr:uid="{F093BBBA-D4A1-436E-91C6-D4E3CF7D226D}"/>
    <cellStyle name="Total 2 3 2 2 4" xfId="4499" xr:uid="{66B8B5C8-C89C-47F3-A62B-6AB899912BF7}"/>
    <cellStyle name="Total 2 3 2 2 4 2" xfId="4695" xr:uid="{5E349990-7069-4FF6-89A7-8226C92AB4E8}"/>
    <cellStyle name="Total 2 3 2 3" xfId="4452" xr:uid="{EB36C166-245F-44D8-99C9-82746BB79D66}"/>
    <cellStyle name="Total 2 3 2 3 2" xfId="4485" xr:uid="{B1DE937E-7685-467E-B2E7-3E4B9F89732E}"/>
    <cellStyle name="Total 2 3 2 3 2 2" xfId="4681" xr:uid="{E73541ED-DDB2-48EF-A14C-BB8692951D0D}"/>
    <cellStyle name="Total 2 3 2 3 3" xfId="4500" xr:uid="{F33F2766-AD23-4382-806C-0A073EF9B36D}"/>
    <cellStyle name="Total 2 3 2 3 3 2" xfId="4696" xr:uid="{33ADCA7C-C6F5-4F9E-B347-73658E840FCF}"/>
    <cellStyle name="Total 2 3 2 3 4" xfId="4667" xr:uid="{38E7E35B-A767-4DEB-B98B-89AC11A0B470}"/>
    <cellStyle name="Total 2 3 2 4" xfId="4659" xr:uid="{E728BD72-6EA2-4E7F-861E-46100F77BE59}"/>
    <cellStyle name="Total 2 3 3" xfId="4451" xr:uid="{266E99A9-5D21-41E0-A620-4014AC18C8C1}"/>
    <cellStyle name="Total 2 3 3 2" xfId="4486" xr:uid="{E899C5FA-E7FA-43C1-A3B1-2B9B2E38E91B}"/>
    <cellStyle name="Total 2 3 3 2 2" xfId="4682" xr:uid="{D2C5B6CE-5E03-4188-BB3F-0CF78A6FD100}"/>
    <cellStyle name="Total 2 3 3 3" xfId="4501" xr:uid="{377465E4-D3DC-4D40-9148-9F158870A139}"/>
    <cellStyle name="Total 2 3 3 3 2" xfId="4697" xr:uid="{8D217EFD-62E4-49FC-801E-9851D068DE33}"/>
    <cellStyle name="Total 2 3 3 4" xfId="4666" xr:uid="{DB3EA0E6-EFFE-41EF-9FD0-C9F6D7E18A2F}"/>
    <cellStyle name="Total 2 3 4" xfId="4634" xr:uid="{A0E3BC45-C4D0-4A37-A79A-6941A46D20C9}"/>
    <cellStyle name="Total 2 4" xfId="4424" xr:uid="{EABD4EE4-178E-4AF3-B2B4-A48E48BBE72F}"/>
    <cellStyle name="Total 2 4 2" xfId="4443" xr:uid="{AA437423-CB8C-4B80-8440-73C8E9D702D1}"/>
    <cellStyle name="Total 2 4 2 2" xfId="4477" xr:uid="{5992C4A1-F2A8-4C56-9531-7213FD30B843}"/>
    <cellStyle name="Total 2 4 2 2 2" xfId="4674" xr:uid="{D0DD870A-0704-47F1-AC0E-A5C702996922}"/>
    <cellStyle name="Total 2 4 2 2 3" xfId="4487" xr:uid="{7D22271F-466F-4EA2-9F35-D150F2596C14}"/>
    <cellStyle name="Total 2 4 2 2 3 2" xfId="4683" xr:uid="{42BC1888-8A91-4C8A-8778-D89F0611243A}"/>
    <cellStyle name="Total 2 4 2 2 4" xfId="4502" xr:uid="{BE1F201F-3FC0-4BF8-939C-EC68B4B2BF64}"/>
    <cellStyle name="Total 2 4 2 2 4 2" xfId="4698" xr:uid="{679CEF75-30B2-42B4-BF6A-21A169148586}"/>
    <cellStyle name="Total 2 4 2 3" xfId="4479" xr:uid="{7FFBA258-3C21-41B3-9D2C-6BEC5BFDE3E8}"/>
    <cellStyle name="Total 2 4 2 3 2" xfId="4488" xr:uid="{591AE20E-EA5E-4DB8-9847-854DB0735508}"/>
    <cellStyle name="Total 2 4 2 3 2 2" xfId="4684" xr:uid="{3382041F-3FF5-4751-8DE6-EEC519737F0D}"/>
    <cellStyle name="Total 2 4 2 3 3" xfId="4503" xr:uid="{1E9B9C51-2F44-494C-A336-BE7C36C30EBE}"/>
    <cellStyle name="Total 2 4 2 3 3 2" xfId="4699" xr:uid="{D2BAA961-0BC8-4318-A75F-D3CE2038A245}"/>
    <cellStyle name="Total 2 4 2 3 4" xfId="4676" xr:uid="{36B7E965-A0B0-4E30-AD61-B363649CEE02}"/>
    <cellStyle name="Total 2 4 2 4" xfId="4661" xr:uid="{10A4538A-FED3-49FD-85D5-D1DCFD12A5DB}"/>
    <cellStyle name="Total 2 4 3" xfId="4450" xr:uid="{78942EC3-F515-479D-9582-194897FBD63B}"/>
    <cellStyle name="Total 2 4 3 2" xfId="4489" xr:uid="{53F6E7DB-6AB9-41E9-BD0B-835312A02911}"/>
    <cellStyle name="Total 2 4 3 2 2" xfId="4685" xr:uid="{D5D3324A-45DD-4ABE-9B88-C71E36795503}"/>
    <cellStyle name="Total 2 4 3 3" xfId="4504" xr:uid="{0AAE3275-A249-40CE-B192-9AE9DD346FC3}"/>
    <cellStyle name="Total 2 4 3 3 2" xfId="4700" xr:uid="{537DD765-0D5C-4E81-8D46-90BE3EB466A2}"/>
    <cellStyle name="Total 2 4 3 4" xfId="4665" xr:uid="{A5562972-AF1D-4FFF-87D5-08DA54564198}"/>
    <cellStyle name="Total 2 4 4" xfId="4655" xr:uid="{1295C733-F6DE-4B65-AB28-40139BCD8057}"/>
    <cellStyle name="Total 2 5" xfId="4401" xr:uid="{4B4EA25E-7584-4286-A83F-E2D0F6C7A30C}"/>
    <cellStyle name="Total 2 5 2" xfId="4436" xr:uid="{1CBD623F-1B6D-4368-87EB-98FFE9FCCF24}"/>
    <cellStyle name="Total 2 5 2 2" xfId="4476" xr:uid="{EA27D6BF-23D9-4691-A409-1EE8B6B8067E}"/>
    <cellStyle name="Total 2 5 2 2 2" xfId="4673" xr:uid="{89AC31C4-F5E9-488C-8BB7-ACE488A96704}"/>
    <cellStyle name="Total 2 5 2 2 3" xfId="4490" xr:uid="{90D9778F-0291-4069-BE8A-519E19726D12}"/>
    <cellStyle name="Total 2 5 2 2 3 2" xfId="4686" xr:uid="{01F1872F-9D36-4DF9-BDB6-EBF09FD3F63D}"/>
    <cellStyle name="Total 2 5 2 2 4" xfId="4505" xr:uid="{6409F42E-B835-4DD4-9397-1E0CC13FA73E}"/>
    <cellStyle name="Total 2 5 2 2 4 2" xfId="4701" xr:uid="{FF8AB6FB-B645-4830-BD5D-8B5EEC85A17E}"/>
    <cellStyle name="Total 2 5 2 3" xfId="4447" xr:uid="{FEC70A18-5FAA-4F5B-935B-6DF8137400BA}"/>
    <cellStyle name="Total 2 5 2 3 2" xfId="4491" xr:uid="{5A41FBF0-B656-4ECA-BE1A-BCACBD8A4BC3}"/>
    <cellStyle name="Total 2 5 2 3 2 2" xfId="4687" xr:uid="{3F6E432C-B8E6-4A4E-B25F-F0C9E563C20E}"/>
    <cellStyle name="Total 2 5 2 3 3" xfId="4506" xr:uid="{B96F70FE-C273-4C77-8DE9-727B07D5C729}"/>
    <cellStyle name="Total 2 5 2 3 3 2" xfId="4702" xr:uid="{6A5F4993-7E17-4C11-942F-339CC5A031FE}"/>
    <cellStyle name="Total 2 5 2 3 4" xfId="4662" xr:uid="{34B6B3C1-079F-4A34-A840-61E1CF2ECE8A}"/>
    <cellStyle name="Total 2 5 2 4" xfId="4660" xr:uid="{80016E0F-7C4B-4270-8166-5DEE5733B694}"/>
    <cellStyle name="Total 2 5 3" xfId="4473" xr:uid="{DDFB02E1-A592-4555-9A2E-344A63BA89EE}"/>
    <cellStyle name="Total 2 5 3 2" xfId="4492" xr:uid="{376E3C5C-045E-4EA4-8113-EC492770C3CA}"/>
    <cellStyle name="Total 2 5 3 2 2" xfId="4688" xr:uid="{9C9552E5-FA2F-42E5-8067-F1DFF49B9AF9}"/>
    <cellStyle name="Total 2 5 3 3" xfId="4507" xr:uid="{0CF6FC09-12FB-4FA5-A4F1-D722BB59E10D}"/>
    <cellStyle name="Total 2 5 3 3 2" xfId="4703" xr:uid="{CF4768C5-8FBE-4A9B-B629-591B20105651}"/>
    <cellStyle name="Total 2 5 3 4" xfId="4670" xr:uid="{60E1B064-9291-441E-A9E1-1B81551E98AE}"/>
    <cellStyle name="Total 2 5 4" xfId="4635" xr:uid="{337C5852-C731-460E-BCD7-44285F77A142}"/>
    <cellStyle name="Total 2 6" xfId="4432" xr:uid="{7A93B950-5B79-4FA8-A684-25CF28F45259}"/>
    <cellStyle name="Total 2 6 2" xfId="4472" xr:uid="{BE15FFA9-0353-4689-8F2A-441D8797D6EE}"/>
    <cellStyle name="Total 2 6 2 2" xfId="4669" xr:uid="{C9C1D13E-AB5D-44B2-9E70-3AE66440AA73}"/>
    <cellStyle name="Total 2 6 2 3" xfId="4493" xr:uid="{A379C927-D0AB-4A31-A7AD-5D8B38D4CA6D}"/>
    <cellStyle name="Total 2 6 2 3 2" xfId="4689" xr:uid="{9EFEA28C-0AE4-4DB9-B6ED-0B450C5B2674}"/>
    <cellStyle name="Total 2 6 2 4" xfId="4508" xr:uid="{FD631A01-CE03-426E-A335-922D30459F31}"/>
    <cellStyle name="Total 2 6 2 4 2" xfId="4704" xr:uid="{DE3623F3-D6FA-4CA8-99CB-130B09273AE3}"/>
    <cellStyle name="Total 2 6 3" xfId="4448" xr:uid="{ABFF012F-BD76-440E-A94D-49525A4EFC23}"/>
    <cellStyle name="Total 2 6 3 2" xfId="4494" xr:uid="{D3358A8B-49C6-4FB8-8FF0-93328F219CBA}"/>
    <cellStyle name="Total 2 6 3 2 2" xfId="4690" xr:uid="{34CCD2C8-9B8C-4913-BB34-5C8C428A7904}"/>
    <cellStyle name="Total 2 6 3 3" xfId="4509" xr:uid="{F5C414D8-9D6A-4CD2-B3A2-21F551C4AE72}"/>
    <cellStyle name="Total 2 6 3 3 2" xfId="4705" xr:uid="{999E4741-E9F9-4904-BAE4-EED227D38176}"/>
    <cellStyle name="Total 2 6 3 4" xfId="4663" xr:uid="{2A8AA3D6-87F9-4DC6-8596-5F80B92BD093}"/>
    <cellStyle name="Total 2 6 4" xfId="4657" xr:uid="{C72CD0B2-3828-4A2D-83D8-7BFEF4699DC3}"/>
    <cellStyle name="Total 2 7" xfId="4478" xr:uid="{0FC9F770-CA70-40C7-83D1-5B2B0EEC0359}"/>
    <cellStyle name="Total 2 7 2" xfId="4495" xr:uid="{87CDD473-DD43-4418-AA4D-7908965FDA5A}"/>
    <cellStyle name="Total 2 7 2 2" xfId="4691" xr:uid="{5524E336-A2F7-49E7-B082-E9B657518019}"/>
    <cellStyle name="Total 2 7 3" xfId="4510" xr:uid="{DEC4833F-014D-4489-88D3-FE1F5F733FCB}"/>
    <cellStyle name="Total 2 7 3 2" xfId="4706" xr:uid="{E9D733C1-A7B3-4B65-A100-C8ADC434A962}"/>
    <cellStyle name="Total 2 7 4" xfId="4675" xr:uid="{2563061D-6824-4157-85FB-2B04AEFA9577}"/>
    <cellStyle name="Total 2 8" xfId="4623" xr:uid="{BA47AB09-ADEA-4BAD-82E4-76F7F3CFB160}"/>
    <cellStyle name="Tusental (0)_pldt" xfId="271" xr:uid="{00000000-0005-0000-0000-000019110000}"/>
    <cellStyle name="Tusental_pldt" xfId="272" xr:uid="{00000000-0005-0000-0000-00001A110000}"/>
    <cellStyle name="Valuta (0)_pldt" xfId="273" xr:uid="{00000000-0005-0000-0000-00001B110000}"/>
    <cellStyle name="Valuta_pldt" xfId="274" xr:uid="{00000000-0005-0000-0000-00001C110000}"/>
    <cellStyle name="Währung [0]_FBA-6" xfId="275" xr:uid="{00000000-0005-0000-0000-00001D110000}"/>
    <cellStyle name="Währung_FBA-6" xfId="276" xr:uid="{00000000-0005-0000-0000-00001E110000}"/>
    <cellStyle name="Warning Text" xfId="33" builtinId="11" customBuiltin="1"/>
    <cellStyle name="Warning Text 2" xfId="277" xr:uid="{00000000-0005-0000-0000-00001F110000}"/>
    <cellStyle name="XComma" xfId="278" xr:uid="{00000000-0005-0000-0000-000021110000}"/>
    <cellStyle name="XComma 0.0" xfId="279" xr:uid="{00000000-0005-0000-0000-000022110000}"/>
    <cellStyle name="XComma 0.00" xfId="280" xr:uid="{00000000-0005-0000-0000-000023110000}"/>
    <cellStyle name="XComma 0.000" xfId="281" xr:uid="{00000000-0005-0000-0000-000024110000}"/>
    <cellStyle name="XCurrency" xfId="282" xr:uid="{00000000-0005-0000-0000-000025110000}"/>
    <cellStyle name="XCurrency 0.0" xfId="283" xr:uid="{00000000-0005-0000-0000-000026110000}"/>
    <cellStyle name="XCurrency 0.00" xfId="284" xr:uid="{00000000-0005-0000-0000-000027110000}"/>
    <cellStyle name="XCurrency 0.000" xfId="285" xr:uid="{00000000-0005-0000-0000-000028110000}"/>
  </cellStyles>
  <dxfs count="0"/>
  <tableStyles count="0" defaultTableStyle="TableStyleMedium2" defaultPivotStyle="PivotStyleLight16"/>
  <colors>
    <mruColors>
      <color rgb="FF83BC5C"/>
      <color rgb="FFE1ECF7"/>
      <color rgb="FFD4E5F4"/>
      <color rgb="FFECF3FA"/>
      <color rgb="FF24B4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Non-Operating Income'!A1"/><Relationship Id="rId3" Type="http://schemas.openxmlformats.org/officeDocument/2006/relationships/hyperlink" Target="#PPAs!A1"/><Relationship Id="rId7" Type="http://schemas.openxmlformats.org/officeDocument/2006/relationships/hyperlink" Target="#'Operating Income'!A1"/><Relationship Id="rId12" Type="http://schemas.openxmlformats.org/officeDocument/2006/relationships/hyperlink" Target="#'Cash Flow'!A1"/><Relationship Id="rId2" Type="http://schemas.openxmlformats.org/officeDocument/2006/relationships/hyperlink" Target="#'Installed Capacity'!A1"/><Relationship Id="rId1" Type="http://schemas.openxmlformats.org/officeDocument/2006/relationships/image" Target="../media/image1.png"/><Relationship Id="rId6" Type="http://schemas.openxmlformats.org/officeDocument/2006/relationships/hyperlink" Target="#'Income Statement'!A1"/><Relationship Id="rId11" Type="http://schemas.openxmlformats.org/officeDocument/2006/relationships/hyperlink" Target="#'Amortization Profile'!A1"/><Relationship Id="rId5" Type="http://schemas.openxmlformats.org/officeDocument/2006/relationships/hyperlink" Target="#'Physical Sales &amp; Gx.'!A1"/><Relationship Id="rId10" Type="http://schemas.openxmlformats.org/officeDocument/2006/relationships/image" Target="../media/image2.png"/><Relationship Id="rId4" Type="http://schemas.openxmlformats.org/officeDocument/2006/relationships/hyperlink" Target="#'Balance Sheet'!A1"/><Relationship Id="rId9" Type="http://schemas.openxmlformats.org/officeDocument/2006/relationships/hyperlink" Target="#'Main Debt Items'!A1"/></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640721</xdr:colOff>
      <xdr:row>37</xdr:row>
      <xdr:rowOff>105724</xdr:rowOff>
    </xdr:to>
    <xdr:pic>
      <xdr:nvPicPr>
        <xdr:cNvPr id="16" name="Picture 15">
          <a:extLst>
            <a:ext uri="{FF2B5EF4-FFF2-40B4-BE49-F238E27FC236}">
              <a16:creationId xmlns:a16="http://schemas.microsoft.com/office/drawing/2014/main" id="{D7FBBE6C-13C3-6466-23BB-30FC9832A2C8}"/>
            </a:ext>
          </a:extLst>
        </xdr:cNvPr>
        <xdr:cNvPicPr>
          <a:picLocks noChangeAspect="1"/>
        </xdr:cNvPicPr>
      </xdr:nvPicPr>
      <xdr:blipFill>
        <a:blip xmlns:r="http://schemas.openxmlformats.org/officeDocument/2006/relationships" r:embed="rId1"/>
        <a:stretch>
          <a:fillRect/>
        </a:stretch>
      </xdr:blipFill>
      <xdr:spPr>
        <a:xfrm>
          <a:off x="0" y="0"/>
          <a:ext cx="17404721" cy="7154224"/>
        </a:xfrm>
        <a:prstGeom prst="rect">
          <a:avLst/>
        </a:prstGeom>
      </xdr:spPr>
    </xdr:pic>
    <xdr:clientData/>
  </xdr:twoCellAnchor>
  <xdr:twoCellAnchor>
    <xdr:from>
      <xdr:col>0</xdr:col>
      <xdr:colOff>581024</xdr:colOff>
      <xdr:row>8</xdr:row>
      <xdr:rowOff>1</xdr:rowOff>
    </xdr:from>
    <xdr:to>
      <xdr:col>5</xdr:col>
      <xdr:colOff>152399</xdr:colOff>
      <xdr:row>9</xdr:row>
      <xdr:rowOff>38101</xdr:rowOff>
    </xdr:to>
    <xdr:sp macro="[0]!Macro1" textlink="">
      <xdr:nvSpPr>
        <xdr:cNvPr id="2" name="Rectángulo: esquinas redondeadas 1">
          <a:hlinkClick xmlns:r="http://schemas.openxmlformats.org/officeDocument/2006/relationships" r:id="rId2"/>
          <a:extLst>
            <a:ext uri="{FF2B5EF4-FFF2-40B4-BE49-F238E27FC236}">
              <a16:creationId xmlns:a16="http://schemas.microsoft.com/office/drawing/2014/main" id="{80C19A50-DAE2-EED8-4F3B-B5C2E0DB3ADE}"/>
            </a:ext>
          </a:extLst>
        </xdr:cNvPr>
        <xdr:cNvSpPr/>
      </xdr:nvSpPr>
      <xdr:spPr>
        <a:xfrm>
          <a:off x="581024" y="15240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Installed Capacity</a:t>
          </a:r>
        </a:p>
      </xdr:txBody>
    </xdr:sp>
    <xdr:clientData/>
  </xdr:twoCellAnchor>
  <xdr:twoCellAnchor>
    <xdr:from>
      <xdr:col>0</xdr:col>
      <xdr:colOff>590549</xdr:colOff>
      <xdr:row>9</xdr:row>
      <xdr:rowOff>152401</xdr:rowOff>
    </xdr:from>
    <xdr:to>
      <xdr:col>5</xdr:col>
      <xdr:colOff>161924</xdr:colOff>
      <xdr:row>11</xdr:row>
      <xdr:rowOff>1</xdr:rowOff>
    </xdr:to>
    <xdr:sp macro="[0]!Macro2" textlink="">
      <xdr:nvSpPr>
        <xdr:cNvPr id="4" name="Rectángulo: esquinas redondeadas 3">
          <a:hlinkClick xmlns:r="http://schemas.openxmlformats.org/officeDocument/2006/relationships" r:id="rId3"/>
          <a:extLst>
            <a:ext uri="{FF2B5EF4-FFF2-40B4-BE49-F238E27FC236}">
              <a16:creationId xmlns:a16="http://schemas.microsoft.com/office/drawing/2014/main" id="{1964AF5C-99AC-49D5-BEB7-B4DFA876DAAF}"/>
            </a:ext>
          </a:extLst>
        </xdr:cNvPr>
        <xdr:cNvSpPr/>
      </xdr:nvSpPr>
      <xdr:spPr>
        <a:xfrm>
          <a:off x="590549" y="18669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 PPAs</a:t>
          </a:r>
        </a:p>
      </xdr:txBody>
    </xdr:sp>
    <xdr:clientData/>
  </xdr:twoCellAnchor>
  <xdr:twoCellAnchor>
    <xdr:from>
      <xdr:col>0</xdr:col>
      <xdr:colOff>600074</xdr:colOff>
      <xdr:row>18</xdr:row>
      <xdr:rowOff>161926</xdr:rowOff>
    </xdr:from>
    <xdr:to>
      <xdr:col>5</xdr:col>
      <xdr:colOff>171449</xdr:colOff>
      <xdr:row>20</xdr:row>
      <xdr:rowOff>9526</xdr:rowOff>
    </xdr:to>
    <xdr:sp macro="[0]!Macro7" textlink="">
      <xdr:nvSpPr>
        <xdr:cNvPr id="5" name="Rectángulo: esquinas redondeadas 4">
          <a:hlinkClick xmlns:r="http://schemas.openxmlformats.org/officeDocument/2006/relationships" r:id="rId4"/>
          <a:extLst>
            <a:ext uri="{FF2B5EF4-FFF2-40B4-BE49-F238E27FC236}">
              <a16:creationId xmlns:a16="http://schemas.microsoft.com/office/drawing/2014/main" id="{4F9CB2F7-5C29-47C1-9992-474913E8EFE5}"/>
            </a:ext>
          </a:extLst>
        </xdr:cNvPr>
        <xdr:cNvSpPr/>
      </xdr:nvSpPr>
      <xdr:spPr>
        <a:xfrm>
          <a:off x="600074" y="359092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Balance Sheet</a:t>
          </a:r>
        </a:p>
      </xdr:txBody>
    </xdr:sp>
    <xdr:clientData/>
  </xdr:twoCellAnchor>
  <xdr:twoCellAnchor>
    <xdr:from>
      <xdr:col>0</xdr:col>
      <xdr:colOff>571499</xdr:colOff>
      <xdr:row>11</xdr:row>
      <xdr:rowOff>104776</xdr:rowOff>
    </xdr:from>
    <xdr:to>
      <xdr:col>5</xdr:col>
      <xdr:colOff>142874</xdr:colOff>
      <xdr:row>12</xdr:row>
      <xdr:rowOff>142876</xdr:rowOff>
    </xdr:to>
    <xdr:sp macro="[0]!Macro3" textlink="">
      <xdr:nvSpPr>
        <xdr:cNvPr id="6" name="Rectángulo: esquinas redondeadas 5">
          <a:hlinkClick xmlns:r="http://schemas.openxmlformats.org/officeDocument/2006/relationships" r:id="rId5"/>
          <a:extLst>
            <a:ext uri="{FF2B5EF4-FFF2-40B4-BE49-F238E27FC236}">
              <a16:creationId xmlns:a16="http://schemas.microsoft.com/office/drawing/2014/main" id="{8430316C-3BBD-4566-AE05-6B30A3827A55}"/>
            </a:ext>
          </a:extLst>
        </xdr:cNvPr>
        <xdr:cNvSpPr/>
      </xdr:nvSpPr>
      <xdr:spPr>
        <a:xfrm>
          <a:off x="571499" y="22002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Physical Sales &amp; Gx</a:t>
          </a:r>
        </a:p>
      </xdr:txBody>
    </xdr:sp>
    <xdr:clientData/>
  </xdr:twoCellAnchor>
  <xdr:twoCellAnchor>
    <xdr:from>
      <xdr:col>0</xdr:col>
      <xdr:colOff>590549</xdr:colOff>
      <xdr:row>13</xdr:row>
      <xdr:rowOff>66676</xdr:rowOff>
    </xdr:from>
    <xdr:to>
      <xdr:col>5</xdr:col>
      <xdr:colOff>161924</xdr:colOff>
      <xdr:row>14</xdr:row>
      <xdr:rowOff>104776</xdr:rowOff>
    </xdr:to>
    <xdr:sp macro="[0]!Macro4" textlink="">
      <xdr:nvSpPr>
        <xdr:cNvPr id="7" name="Rectángulo: esquinas redondeadas 6">
          <a:hlinkClick xmlns:r="http://schemas.openxmlformats.org/officeDocument/2006/relationships" r:id="rId6"/>
          <a:extLst>
            <a:ext uri="{FF2B5EF4-FFF2-40B4-BE49-F238E27FC236}">
              <a16:creationId xmlns:a16="http://schemas.microsoft.com/office/drawing/2014/main" id="{C2691B72-17AB-432D-AE6A-B545046D686E}"/>
            </a:ext>
          </a:extLst>
        </xdr:cNvPr>
        <xdr:cNvSpPr/>
      </xdr:nvSpPr>
      <xdr:spPr>
        <a:xfrm>
          <a:off x="590549" y="25431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Income Statement</a:t>
          </a:r>
        </a:p>
      </xdr:txBody>
    </xdr:sp>
    <xdr:clientData/>
  </xdr:twoCellAnchor>
  <xdr:twoCellAnchor>
    <xdr:from>
      <xdr:col>0</xdr:col>
      <xdr:colOff>581024</xdr:colOff>
      <xdr:row>15</xdr:row>
      <xdr:rowOff>9526</xdr:rowOff>
    </xdr:from>
    <xdr:to>
      <xdr:col>5</xdr:col>
      <xdr:colOff>152399</xdr:colOff>
      <xdr:row>16</xdr:row>
      <xdr:rowOff>47626</xdr:rowOff>
    </xdr:to>
    <xdr:sp macro="[0]!Macro5" textlink="">
      <xdr:nvSpPr>
        <xdr:cNvPr id="8" name="Rectángulo: esquinas redondeadas 7">
          <a:hlinkClick xmlns:r="http://schemas.openxmlformats.org/officeDocument/2006/relationships" r:id="rId7"/>
          <a:extLst>
            <a:ext uri="{FF2B5EF4-FFF2-40B4-BE49-F238E27FC236}">
              <a16:creationId xmlns:a16="http://schemas.microsoft.com/office/drawing/2014/main" id="{841BBB58-EFDF-40EB-B638-E31F21CDB7A3}"/>
            </a:ext>
          </a:extLst>
        </xdr:cNvPr>
        <xdr:cNvSpPr/>
      </xdr:nvSpPr>
      <xdr:spPr>
        <a:xfrm>
          <a:off x="581024" y="286702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Operating Income</a:t>
          </a:r>
        </a:p>
      </xdr:txBody>
    </xdr:sp>
    <xdr:clientData/>
  </xdr:twoCellAnchor>
  <xdr:twoCellAnchor>
    <xdr:from>
      <xdr:col>0</xdr:col>
      <xdr:colOff>590549</xdr:colOff>
      <xdr:row>16</xdr:row>
      <xdr:rowOff>180976</xdr:rowOff>
    </xdr:from>
    <xdr:to>
      <xdr:col>5</xdr:col>
      <xdr:colOff>161924</xdr:colOff>
      <xdr:row>18</xdr:row>
      <xdr:rowOff>28576</xdr:rowOff>
    </xdr:to>
    <xdr:sp macro="[0]!Macro6" textlink="">
      <xdr:nvSpPr>
        <xdr:cNvPr id="9" name="Rectángulo: esquinas redondeadas 8">
          <a:hlinkClick xmlns:r="http://schemas.openxmlformats.org/officeDocument/2006/relationships" r:id="rId8"/>
          <a:extLst>
            <a:ext uri="{FF2B5EF4-FFF2-40B4-BE49-F238E27FC236}">
              <a16:creationId xmlns:a16="http://schemas.microsoft.com/office/drawing/2014/main" id="{F0F91DF8-D18A-4267-9C73-9FCFFD7B610F}"/>
            </a:ext>
          </a:extLst>
        </xdr:cNvPr>
        <xdr:cNvSpPr/>
      </xdr:nvSpPr>
      <xdr:spPr>
        <a:xfrm>
          <a:off x="590549" y="32289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Non-Operating Income</a:t>
          </a:r>
        </a:p>
      </xdr:txBody>
    </xdr:sp>
    <xdr:clientData/>
  </xdr:twoCellAnchor>
  <xdr:twoCellAnchor>
    <xdr:from>
      <xdr:col>0</xdr:col>
      <xdr:colOff>590549</xdr:colOff>
      <xdr:row>20</xdr:row>
      <xdr:rowOff>114301</xdr:rowOff>
    </xdr:from>
    <xdr:to>
      <xdr:col>5</xdr:col>
      <xdr:colOff>161924</xdr:colOff>
      <xdr:row>21</xdr:row>
      <xdr:rowOff>152401</xdr:rowOff>
    </xdr:to>
    <xdr:sp macro="[0]!Macro8" textlink="">
      <xdr:nvSpPr>
        <xdr:cNvPr id="10" name="Rectángulo: esquinas redondeadas 9">
          <a:hlinkClick xmlns:r="http://schemas.openxmlformats.org/officeDocument/2006/relationships" r:id="rId9"/>
          <a:extLst>
            <a:ext uri="{FF2B5EF4-FFF2-40B4-BE49-F238E27FC236}">
              <a16:creationId xmlns:a16="http://schemas.microsoft.com/office/drawing/2014/main" id="{5CEA5A87-C20E-471A-9E4C-CEC2FB1688EC}"/>
            </a:ext>
          </a:extLst>
        </xdr:cNvPr>
        <xdr:cNvSpPr/>
      </xdr:nvSpPr>
      <xdr:spPr>
        <a:xfrm>
          <a:off x="590549" y="39243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Main Debt Items</a:t>
          </a:r>
        </a:p>
      </xdr:txBody>
    </xdr:sp>
    <xdr:clientData/>
  </xdr:twoCellAnchor>
  <xdr:twoCellAnchor>
    <xdr:from>
      <xdr:col>0</xdr:col>
      <xdr:colOff>495300</xdr:colOff>
      <xdr:row>0</xdr:row>
      <xdr:rowOff>114300</xdr:rowOff>
    </xdr:from>
    <xdr:to>
      <xdr:col>15</xdr:col>
      <xdr:colOff>95250</xdr:colOff>
      <xdr:row>6</xdr:row>
      <xdr:rowOff>161925</xdr:rowOff>
    </xdr:to>
    <xdr:sp macro="" textlink="">
      <xdr:nvSpPr>
        <xdr:cNvPr id="17" name="CuadroTexto 10">
          <a:extLst>
            <a:ext uri="{FF2B5EF4-FFF2-40B4-BE49-F238E27FC236}">
              <a16:creationId xmlns:a16="http://schemas.microsoft.com/office/drawing/2014/main" id="{B1571970-C272-E91D-625E-73DEF8169359}"/>
            </a:ext>
          </a:extLst>
        </xdr:cNvPr>
        <xdr:cNvSpPr txBox="1"/>
      </xdr:nvSpPr>
      <xdr:spPr>
        <a:xfrm>
          <a:off x="495300" y="114300"/>
          <a:ext cx="1102995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sz="2000" b="1">
            <a:solidFill>
              <a:schemeClr val="bg1"/>
            </a:solidFill>
            <a:latin typeface="Trebuchet MS" panose="020B0603020202020204" pitchFamily="34" charset="0"/>
          </a:endParaRPr>
        </a:p>
        <a:p>
          <a:endParaRPr lang="es-CL" sz="2000" b="1">
            <a:solidFill>
              <a:schemeClr val="bg1"/>
            </a:solidFill>
            <a:latin typeface="Trebuchet MS" panose="020B0603020202020204" pitchFamily="34" charset="0"/>
          </a:endParaRPr>
        </a:p>
        <a:p>
          <a:r>
            <a:rPr lang="es-CL" sz="2000" b="1">
              <a:solidFill>
                <a:schemeClr val="bg1"/>
              </a:solidFill>
              <a:latin typeface="Trebuchet MS" panose="020B0603020202020204" pitchFamily="34" charset="0"/>
            </a:rPr>
            <a:t>Financial</a:t>
          </a:r>
          <a:r>
            <a:rPr lang="es-CL" sz="2000" b="1" baseline="0">
              <a:solidFill>
                <a:schemeClr val="bg1"/>
              </a:solidFill>
              <a:latin typeface="Trebuchet MS" panose="020B0603020202020204" pitchFamily="34" charset="0"/>
            </a:rPr>
            <a:t> Data Chile &amp; Peru 4Q24</a:t>
          </a:r>
          <a:endParaRPr lang="es-CL" sz="2000" b="1">
            <a:solidFill>
              <a:schemeClr val="bg1"/>
            </a:solidFill>
            <a:latin typeface="Trebuchet MS" panose="020B0603020202020204" pitchFamily="34" charset="0"/>
          </a:endParaRPr>
        </a:p>
        <a:p>
          <a:endParaRPr lang="es-CL" sz="3200">
            <a:solidFill>
              <a:srgbClr val="24B40C"/>
            </a:solidFill>
            <a:latin typeface="Trebuchet MS" panose="020B0603020202020204" pitchFamily="34" charset="0"/>
          </a:endParaRPr>
        </a:p>
      </xdr:txBody>
    </xdr:sp>
    <xdr:clientData/>
  </xdr:twoCellAnchor>
  <xdr:twoCellAnchor>
    <xdr:from>
      <xdr:col>0</xdr:col>
      <xdr:colOff>504825</xdr:colOff>
      <xdr:row>6</xdr:row>
      <xdr:rowOff>57150</xdr:rowOff>
    </xdr:from>
    <xdr:to>
      <xdr:col>2</xdr:col>
      <xdr:colOff>19050</xdr:colOff>
      <xdr:row>7</xdr:row>
      <xdr:rowOff>142875</xdr:rowOff>
    </xdr:to>
    <xdr:sp macro="" textlink="">
      <xdr:nvSpPr>
        <xdr:cNvPr id="12" name="CuadroTexto 11">
          <a:extLst>
            <a:ext uri="{FF2B5EF4-FFF2-40B4-BE49-F238E27FC236}">
              <a16:creationId xmlns:a16="http://schemas.microsoft.com/office/drawing/2014/main" id="{22C25DE4-A860-E0A7-9B56-82ED2EAB4267}"/>
            </a:ext>
          </a:extLst>
        </xdr:cNvPr>
        <xdr:cNvSpPr txBox="1"/>
      </xdr:nvSpPr>
      <xdr:spPr>
        <a:xfrm>
          <a:off x="504825" y="1200150"/>
          <a:ext cx="1038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700" b="1">
              <a:solidFill>
                <a:schemeClr val="bg1"/>
              </a:solidFill>
              <a:latin typeface="Trebuchet MS" panose="020B0603020202020204" pitchFamily="34" charset="0"/>
            </a:rPr>
            <a:t>Index</a:t>
          </a:r>
        </a:p>
      </xdr:txBody>
    </xdr:sp>
    <xdr:clientData/>
  </xdr:twoCellAnchor>
  <xdr:twoCellAnchor editAs="oneCell">
    <xdr:from>
      <xdr:col>0</xdr:col>
      <xdr:colOff>447039</xdr:colOff>
      <xdr:row>0</xdr:row>
      <xdr:rowOff>66675</xdr:rowOff>
    </xdr:from>
    <xdr:to>
      <xdr:col>4</xdr:col>
      <xdr:colOff>83694</xdr:colOff>
      <xdr:row>3</xdr:row>
      <xdr:rowOff>141605</xdr:rowOff>
    </xdr:to>
    <xdr:pic>
      <xdr:nvPicPr>
        <xdr:cNvPr id="11" name="Picture 10" descr="Imagen">
          <a:extLst>
            <a:ext uri="{FF2B5EF4-FFF2-40B4-BE49-F238E27FC236}">
              <a16:creationId xmlns:a16="http://schemas.microsoft.com/office/drawing/2014/main" id="{71E8EB55-09E9-4584-B545-8E6D9C86AE9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7039" y="66675"/>
          <a:ext cx="2837055" cy="617855"/>
        </a:xfrm>
        <a:prstGeom prst="rect">
          <a:avLst/>
        </a:prstGeom>
        <a:ln w="12700">
          <a:miter lim="400000"/>
        </a:ln>
      </xdr:spPr>
    </xdr:pic>
    <xdr:clientData/>
  </xdr:twoCellAnchor>
  <xdr:twoCellAnchor>
    <xdr:from>
      <xdr:col>0</xdr:col>
      <xdr:colOff>581025</xdr:colOff>
      <xdr:row>22</xdr:row>
      <xdr:rowOff>76200</xdr:rowOff>
    </xdr:from>
    <xdr:to>
      <xdr:col>5</xdr:col>
      <xdr:colOff>139700</xdr:colOff>
      <xdr:row>23</xdr:row>
      <xdr:rowOff>114300</xdr:rowOff>
    </xdr:to>
    <xdr:sp macro="" textlink="">
      <xdr:nvSpPr>
        <xdr:cNvPr id="3" name="Rectangle: Rounded Corners 2">
          <a:extLst>
            <a:ext uri="{FF2B5EF4-FFF2-40B4-BE49-F238E27FC236}">
              <a16:creationId xmlns:a16="http://schemas.microsoft.com/office/drawing/2014/main" id="{98D55E63-25D1-4803-A303-7F7AFDB03864}"/>
            </a:ext>
          </a:extLst>
        </xdr:cNvPr>
        <xdr:cNvSpPr/>
      </xdr:nvSpPr>
      <xdr:spPr>
        <a:xfrm>
          <a:off x="581025" y="4057650"/>
          <a:ext cx="3559175" cy="219075"/>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L" sz="1100" baseline="0">
              <a:solidFill>
                <a:schemeClr val="tx1">
                  <a:lumMod val="65000"/>
                  <a:lumOff val="35000"/>
                </a:schemeClr>
              </a:solidFill>
              <a:latin typeface="Trebuchet MS" panose="020B0603020202020204" pitchFamily="34" charset="0"/>
              <a:ea typeface="+mn-ea"/>
              <a:cs typeface="+mn-cs"/>
            </a:rPr>
            <a:t>Installed Capacity</a:t>
          </a:r>
        </a:p>
      </xdr:txBody>
    </xdr:sp>
    <xdr:clientData/>
  </xdr:twoCellAnchor>
  <xdr:twoCellAnchor>
    <xdr:from>
      <xdr:col>0</xdr:col>
      <xdr:colOff>590550</xdr:colOff>
      <xdr:row>22</xdr:row>
      <xdr:rowOff>82550</xdr:rowOff>
    </xdr:from>
    <xdr:to>
      <xdr:col>5</xdr:col>
      <xdr:colOff>149225</xdr:colOff>
      <xdr:row>23</xdr:row>
      <xdr:rowOff>120650</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7CB1607A-45CA-4012-A1F1-D28349D0EF63}"/>
            </a:ext>
          </a:extLst>
        </xdr:cNvPr>
        <xdr:cNvSpPr/>
      </xdr:nvSpPr>
      <xdr:spPr>
        <a:xfrm>
          <a:off x="590550" y="4064000"/>
          <a:ext cx="3559175" cy="219075"/>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Amortization Profile</a:t>
          </a:r>
        </a:p>
      </xdr:txBody>
    </xdr:sp>
    <xdr:clientData/>
  </xdr:twoCellAnchor>
  <xdr:twoCellAnchor>
    <xdr:from>
      <xdr:col>0</xdr:col>
      <xdr:colOff>572609</xdr:colOff>
      <xdr:row>24</xdr:row>
      <xdr:rowOff>33420</xdr:rowOff>
    </xdr:from>
    <xdr:to>
      <xdr:col>5</xdr:col>
      <xdr:colOff>151086</xdr:colOff>
      <xdr:row>25</xdr:row>
      <xdr:rowOff>75091</xdr:rowOff>
    </xdr:to>
    <xdr:sp macro="" textlink="">
      <xdr:nvSpPr>
        <xdr:cNvPr id="14" name="Rectangle: Rounded Corners 13">
          <a:hlinkClick xmlns:r="http://schemas.openxmlformats.org/officeDocument/2006/relationships" r:id="rId12"/>
          <a:extLst>
            <a:ext uri="{FF2B5EF4-FFF2-40B4-BE49-F238E27FC236}">
              <a16:creationId xmlns:a16="http://schemas.microsoft.com/office/drawing/2014/main" id="{2ACA16FD-C9CA-4578-81C1-04A282FBC661}"/>
            </a:ext>
          </a:extLst>
        </xdr:cNvPr>
        <xdr:cNvSpPr/>
      </xdr:nvSpPr>
      <xdr:spPr>
        <a:xfrm>
          <a:off x="572609" y="4605420"/>
          <a:ext cx="3388477" cy="232171"/>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Cash Flow</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52916</xdr:colOff>
      <xdr:row>0</xdr:row>
      <xdr:rowOff>105834</xdr:rowOff>
    </xdr:from>
    <xdr:to>
      <xdr:col>0</xdr:col>
      <xdr:colOff>1484842</xdr:colOff>
      <xdr:row>2</xdr:row>
      <xdr:rowOff>78326</xdr:rowOff>
    </xdr:to>
    <xdr:pic>
      <xdr:nvPicPr>
        <xdr:cNvPr id="4" name="Picture 3" descr="Imagen">
          <a:extLst>
            <a:ext uri="{FF2B5EF4-FFF2-40B4-BE49-F238E27FC236}">
              <a16:creationId xmlns:a16="http://schemas.microsoft.com/office/drawing/2014/main" id="{8D56316F-4364-40F4-BAE3-8BFBC2F52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 y="105834"/>
          <a:ext cx="1431926" cy="311159"/>
        </a:xfrm>
        <a:prstGeom prst="rect">
          <a:avLst/>
        </a:prstGeom>
        <a:ln w="12700">
          <a:miter lim="400000"/>
        </a:ln>
      </xdr:spPr>
    </xdr:pic>
    <xdr:clientData/>
  </xdr:twoCellAnchor>
  <xdr:twoCellAnchor>
    <xdr:from>
      <xdr:col>0</xdr:col>
      <xdr:colOff>0</xdr:colOff>
      <xdr:row>10</xdr:row>
      <xdr:rowOff>5475</xdr:rowOff>
    </xdr:from>
    <xdr:to>
      <xdr:col>0</xdr:col>
      <xdr:colOff>1487303</xdr:colOff>
      <xdr:row>13</xdr:row>
      <xdr:rowOff>50692</xdr:rowOff>
    </xdr:to>
    <xdr:grpSp>
      <xdr:nvGrpSpPr>
        <xdr:cNvPr id="13" name="Grupo 3">
          <a:extLst>
            <a:ext uri="{FF2B5EF4-FFF2-40B4-BE49-F238E27FC236}">
              <a16:creationId xmlns:a16="http://schemas.microsoft.com/office/drawing/2014/main" id="{B04F942B-9042-F694-497A-68E3063BE1A0}"/>
            </a:ext>
          </a:extLst>
        </xdr:cNvPr>
        <xdr:cNvGrpSpPr/>
      </xdr:nvGrpSpPr>
      <xdr:grpSpPr>
        <a:xfrm>
          <a:off x="0" y="1939050"/>
          <a:ext cx="1487303" cy="616717"/>
          <a:chOff x="0" y="0"/>
          <a:chExt cx="3496166" cy="1419225"/>
        </a:xfrm>
      </xdr:grpSpPr>
      <xdr:pic>
        <xdr:nvPicPr>
          <xdr:cNvPr id="14" name="Imagen 2">
            <a:extLst>
              <a:ext uri="{FF2B5EF4-FFF2-40B4-BE49-F238E27FC236}">
                <a16:creationId xmlns:a16="http://schemas.microsoft.com/office/drawing/2014/main" id="{455C9E82-5DD2-E358-B1D4-DA51DD58A3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15" name="Imagen 1" descr="Logotipo&#10;&#10;Descripción generada automáticamente">
            <a:extLst>
              <a:ext uri="{FF2B5EF4-FFF2-40B4-BE49-F238E27FC236}">
                <a16:creationId xmlns:a16="http://schemas.microsoft.com/office/drawing/2014/main" id="{6B078B11-79BB-5C84-C07C-A36A8575DB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63500</xdr:colOff>
      <xdr:row>0</xdr:row>
      <xdr:rowOff>114300</xdr:rowOff>
    </xdr:from>
    <xdr:to>
      <xdr:col>1</xdr:col>
      <xdr:colOff>1495426</xdr:colOff>
      <xdr:row>2</xdr:row>
      <xdr:rowOff>76209</xdr:rowOff>
    </xdr:to>
    <xdr:pic>
      <xdr:nvPicPr>
        <xdr:cNvPr id="2" name="Picture 1" descr="Imagen">
          <a:extLst>
            <a:ext uri="{FF2B5EF4-FFF2-40B4-BE49-F238E27FC236}">
              <a16:creationId xmlns:a16="http://schemas.microsoft.com/office/drawing/2014/main" id="{2E1BA6B4-9FCD-41D5-A71E-3084BAAE15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0"/>
          <a:ext cx="1431926" cy="342909"/>
        </a:xfrm>
        <a:prstGeom prst="rect">
          <a:avLst/>
        </a:prstGeom>
        <a:ln w="12700">
          <a:miter lim="400000"/>
        </a:ln>
      </xdr:spPr>
    </xdr:pic>
    <xdr:clientData/>
  </xdr:twoCellAnchor>
  <xdr:twoCellAnchor>
    <xdr:from>
      <xdr:col>0</xdr:col>
      <xdr:colOff>0</xdr:colOff>
      <xdr:row>18</xdr:row>
      <xdr:rowOff>127000</xdr:rowOff>
    </xdr:from>
    <xdr:to>
      <xdr:col>1</xdr:col>
      <xdr:colOff>1487303</xdr:colOff>
      <xdr:row>22</xdr:row>
      <xdr:rowOff>3979</xdr:rowOff>
    </xdr:to>
    <xdr:grpSp>
      <xdr:nvGrpSpPr>
        <xdr:cNvPr id="3" name="Grupo 3">
          <a:extLst>
            <a:ext uri="{FF2B5EF4-FFF2-40B4-BE49-F238E27FC236}">
              <a16:creationId xmlns:a16="http://schemas.microsoft.com/office/drawing/2014/main" id="{564236D3-0459-431E-B1D6-71C97DD439C2}"/>
            </a:ext>
          </a:extLst>
        </xdr:cNvPr>
        <xdr:cNvGrpSpPr/>
      </xdr:nvGrpSpPr>
      <xdr:grpSpPr>
        <a:xfrm>
          <a:off x="0" y="3403600"/>
          <a:ext cx="1487303" cy="638979"/>
          <a:chOff x="0" y="0"/>
          <a:chExt cx="3496166" cy="1419225"/>
        </a:xfrm>
      </xdr:grpSpPr>
      <xdr:pic>
        <xdr:nvPicPr>
          <xdr:cNvPr id="4" name="Imagen 2">
            <a:extLst>
              <a:ext uri="{FF2B5EF4-FFF2-40B4-BE49-F238E27FC236}">
                <a16:creationId xmlns:a16="http://schemas.microsoft.com/office/drawing/2014/main" id="{F73C74D3-735D-CB80-8EE6-94529A2B13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5" name="Imagen 1" descr="Logotipo&#10;&#10;Descripción generada automáticamente">
            <a:extLst>
              <a:ext uri="{FF2B5EF4-FFF2-40B4-BE49-F238E27FC236}">
                <a16:creationId xmlns:a16="http://schemas.microsoft.com/office/drawing/2014/main" id="{9D6539F7-2FDA-4361-C051-B1E7D2256A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11281</xdr:colOff>
      <xdr:row>0</xdr:row>
      <xdr:rowOff>95250</xdr:rowOff>
    </xdr:from>
    <xdr:to>
      <xdr:col>1</xdr:col>
      <xdr:colOff>1436857</xdr:colOff>
      <xdr:row>2</xdr:row>
      <xdr:rowOff>67742</xdr:rowOff>
    </xdr:to>
    <xdr:pic>
      <xdr:nvPicPr>
        <xdr:cNvPr id="2" name="Picture 1" descr="Imagen">
          <a:extLst>
            <a:ext uri="{FF2B5EF4-FFF2-40B4-BE49-F238E27FC236}">
              <a16:creationId xmlns:a16="http://schemas.microsoft.com/office/drawing/2014/main" id="{D2BBD9E0-5AB4-486A-9F48-5DC763C21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1830" y="95250"/>
          <a:ext cx="1422401" cy="304262"/>
        </a:xfrm>
        <a:prstGeom prst="rect">
          <a:avLst/>
        </a:prstGeom>
        <a:ln w="12700">
          <a:miter lim="400000"/>
        </a:ln>
      </xdr:spPr>
    </xdr:pic>
    <xdr:clientData/>
  </xdr:twoCellAnchor>
  <xdr:twoCellAnchor>
    <xdr:from>
      <xdr:col>0</xdr:col>
      <xdr:colOff>61736</xdr:colOff>
      <xdr:row>30</xdr:row>
      <xdr:rowOff>114653</xdr:rowOff>
    </xdr:from>
    <xdr:to>
      <xdr:col>1</xdr:col>
      <xdr:colOff>1337372</xdr:colOff>
      <xdr:row>33</xdr:row>
      <xdr:rowOff>164288</xdr:rowOff>
    </xdr:to>
    <xdr:grpSp>
      <xdr:nvGrpSpPr>
        <xdr:cNvPr id="6" name="Grupo 3">
          <a:extLst>
            <a:ext uri="{FF2B5EF4-FFF2-40B4-BE49-F238E27FC236}">
              <a16:creationId xmlns:a16="http://schemas.microsoft.com/office/drawing/2014/main" id="{343FD773-F27F-47A1-8572-E5C6E1F22B6B}"/>
            </a:ext>
          </a:extLst>
        </xdr:cNvPr>
        <xdr:cNvGrpSpPr/>
      </xdr:nvGrpSpPr>
      <xdr:grpSpPr>
        <a:xfrm>
          <a:off x="61736" y="5886803"/>
          <a:ext cx="1485186" cy="621135"/>
          <a:chOff x="0" y="0"/>
          <a:chExt cx="3496166" cy="1419225"/>
        </a:xfrm>
      </xdr:grpSpPr>
      <xdr:pic>
        <xdr:nvPicPr>
          <xdr:cNvPr id="7" name="Imagen 2">
            <a:extLst>
              <a:ext uri="{FF2B5EF4-FFF2-40B4-BE49-F238E27FC236}">
                <a16:creationId xmlns:a16="http://schemas.microsoft.com/office/drawing/2014/main" id="{FD070D75-E455-8BBD-B14C-E210476A90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8" name="Imagen 1" descr="Logotipo&#10;&#10;Descripción generada automáticamente">
            <a:extLst>
              <a:ext uri="{FF2B5EF4-FFF2-40B4-BE49-F238E27FC236}">
                <a16:creationId xmlns:a16="http://schemas.microsoft.com/office/drawing/2014/main" id="{9A202415-A72E-1388-4879-C0A1259781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74083</xdr:colOff>
      <xdr:row>0</xdr:row>
      <xdr:rowOff>95250</xdr:rowOff>
    </xdr:from>
    <xdr:to>
      <xdr:col>1</xdr:col>
      <xdr:colOff>1496484</xdr:colOff>
      <xdr:row>2</xdr:row>
      <xdr:rowOff>64567</xdr:rowOff>
    </xdr:to>
    <xdr:pic>
      <xdr:nvPicPr>
        <xdr:cNvPr id="2" name="Picture 1" descr="Imagen">
          <a:extLst>
            <a:ext uri="{FF2B5EF4-FFF2-40B4-BE49-F238E27FC236}">
              <a16:creationId xmlns:a16="http://schemas.microsoft.com/office/drawing/2014/main" id="{44E06FEA-24A4-4717-85EF-F0E39FACB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 y="95250"/>
          <a:ext cx="1425576" cy="311159"/>
        </a:xfrm>
        <a:prstGeom prst="rect">
          <a:avLst/>
        </a:prstGeom>
        <a:ln w="12700">
          <a:miter lim="400000"/>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58554</xdr:colOff>
      <xdr:row>0</xdr:row>
      <xdr:rowOff>88506</xdr:rowOff>
    </xdr:from>
    <xdr:to>
      <xdr:col>1</xdr:col>
      <xdr:colOff>1487305</xdr:colOff>
      <xdr:row>2</xdr:row>
      <xdr:rowOff>67398</xdr:rowOff>
    </xdr:to>
    <xdr:pic>
      <xdr:nvPicPr>
        <xdr:cNvPr id="2" name="Picture 1" descr="Imagen">
          <a:extLst>
            <a:ext uri="{FF2B5EF4-FFF2-40B4-BE49-F238E27FC236}">
              <a16:creationId xmlns:a16="http://schemas.microsoft.com/office/drawing/2014/main" id="{32735FF6-442D-2903-89E7-AA8DB3223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54" y="88506"/>
          <a:ext cx="1428751" cy="307984"/>
        </a:xfrm>
        <a:prstGeom prst="rect">
          <a:avLst/>
        </a:prstGeom>
        <a:ln w="12700">
          <a:miter lim="400000"/>
        </a:ln>
      </xdr:spPr>
    </xdr:pic>
    <xdr:clientData/>
  </xdr:twoCellAnchor>
  <xdr:twoCellAnchor>
    <xdr:from>
      <xdr:col>0</xdr:col>
      <xdr:colOff>0</xdr:colOff>
      <xdr:row>29</xdr:row>
      <xdr:rowOff>162442</xdr:rowOff>
    </xdr:from>
    <xdr:to>
      <xdr:col>1</xdr:col>
      <xdr:colOff>1487303</xdr:colOff>
      <xdr:row>33</xdr:row>
      <xdr:rowOff>37452</xdr:rowOff>
    </xdr:to>
    <xdr:grpSp>
      <xdr:nvGrpSpPr>
        <xdr:cNvPr id="3" name="Grupo 3">
          <a:extLst>
            <a:ext uri="{FF2B5EF4-FFF2-40B4-BE49-F238E27FC236}">
              <a16:creationId xmlns:a16="http://schemas.microsoft.com/office/drawing/2014/main" id="{016C9926-FD9A-46AE-AEBD-598A1358FCF5}"/>
            </a:ext>
          </a:extLst>
        </xdr:cNvPr>
        <xdr:cNvGrpSpPr/>
      </xdr:nvGrpSpPr>
      <xdr:grpSpPr>
        <a:xfrm>
          <a:off x="0" y="5239267"/>
          <a:ext cx="1687328" cy="637010"/>
          <a:chOff x="0" y="0"/>
          <a:chExt cx="3496166" cy="1419225"/>
        </a:xfrm>
      </xdr:grpSpPr>
      <xdr:pic>
        <xdr:nvPicPr>
          <xdr:cNvPr id="4" name="Imagen 2">
            <a:extLst>
              <a:ext uri="{FF2B5EF4-FFF2-40B4-BE49-F238E27FC236}">
                <a16:creationId xmlns:a16="http://schemas.microsoft.com/office/drawing/2014/main" id="{2A825152-B70D-3697-8E66-CEEF311B3B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8E896DEB-B096-589B-123D-B7CF5B1290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16144</xdr:colOff>
      <xdr:row>0</xdr:row>
      <xdr:rowOff>88792</xdr:rowOff>
    </xdr:from>
    <xdr:to>
      <xdr:col>1</xdr:col>
      <xdr:colOff>1444895</xdr:colOff>
      <xdr:row>2</xdr:row>
      <xdr:rowOff>67276</xdr:rowOff>
    </xdr:to>
    <xdr:pic>
      <xdr:nvPicPr>
        <xdr:cNvPr id="2" name="Picture 1" descr="Imagen">
          <a:extLst>
            <a:ext uri="{FF2B5EF4-FFF2-40B4-BE49-F238E27FC236}">
              <a16:creationId xmlns:a16="http://schemas.microsoft.com/office/drawing/2014/main" id="{FBC88168-8470-4C22-BAD0-FE64B195E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44" y="88792"/>
          <a:ext cx="1428751" cy="317509"/>
        </a:xfrm>
        <a:prstGeom prst="rect">
          <a:avLst/>
        </a:prstGeom>
        <a:ln w="12700">
          <a:miter lim="400000"/>
        </a:ln>
      </xdr:spPr>
    </xdr:pic>
    <xdr:clientData/>
  </xdr:twoCellAnchor>
  <xdr:twoCellAnchor editAs="oneCell">
    <xdr:from>
      <xdr:col>6</xdr:col>
      <xdr:colOff>758772</xdr:colOff>
      <xdr:row>0</xdr:row>
      <xdr:rowOff>104937</xdr:rowOff>
    </xdr:from>
    <xdr:to>
      <xdr:col>7</xdr:col>
      <xdr:colOff>1388391</xdr:colOff>
      <xdr:row>2</xdr:row>
      <xdr:rowOff>83421</xdr:rowOff>
    </xdr:to>
    <xdr:pic>
      <xdr:nvPicPr>
        <xdr:cNvPr id="5" name="Picture 4" descr="Imagen">
          <a:extLst>
            <a:ext uri="{FF2B5EF4-FFF2-40B4-BE49-F238E27FC236}">
              <a16:creationId xmlns:a16="http://schemas.microsoft.com/office/drawing/2014/main" id="{075F844E-0C7D-4673-B9C0-4932AD743F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9026" y="104937"/>
          <a:ext cx="1428751" cy="317509"/>
        </a:xfrm>
        <a:prstGeom prst="rect">
          <a:avLst/>
        </a:prstGeom>
        <a:ln w="12700">
          <a:miter lim="400000"/>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103982</xdr:colOff>
      <xdr:row>1</xdr:row>
      <xdr:rowOff>-1</xdr:rowOff>
    </xdr:from>
    <xdr:to>
      <xdr:col>1</xdr:col>
      <xdr:colOff>1846186</xdr:colOff>
      <xdr:row>3</xdr:row>
      <xdr:rowOff>49221</xdr:rowOff>
    </xdr:to>
    <xdr:pic>
      <xdr:nvPicPr>
        <xdr:cNvPr id="4" name="Picture 3" descr="Imagen">
          <a:extLst>
            <a:ext uri="{FF2B5EF4-FFF2-40B4-BE49-F238E27FC236}">
              <a16:creationId xmlns:a16="http://schemas.microsoft.com/office/drawing/2014/main" id="{E132BB6C-CACF-4D8A-A5B7-4C5573D23B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82" y="166687"/>
          <a:ext cx="1742204" cy="379422"/>
        </a:xfrm>
        <a:prstGeom prst="rect">
          <a:avLst/>
        </a:prstGeom>
        <a:ln w="12700">
          <a:miter lim="400000"/>
        </a:ln>
      </xdr:spPr>
    </xdr:pic>
    <xdr:clientData/>
  </xdr:twoCellAnchor>
  <xdr:twoCellAnchor>
    <xdr:from>
      <xdr:col>0</xdr:col>
      <xdr:colOff>0</xdr:colOff>
      <xdr:row>37</xdr:row>
      <xdr:rowOff>166687</xdr:rowOff>
    </xdr:from>
    <xdr:to>
      <xdr:col>1</xdr:col>
      <xdr:colOff>1487303</xdr:colOff>
      <xdr:row>38</xdr:row>
      <xdr:rowOff>355874</xdr:rowOff>
    </xdr:to>
    <xdr:grpSp>
      <xdr:nvGrpSpPr>
        <xdr:cNvPr id="2" name="Grupo 3">
          <a:extLst>
            <a:ext uri="{FF2B5EF4-FFF2-40B4-BE49-F238E27FC236}">
              <a16:creationId xmlns:a16="http://schemas.microsoft.com/office/drawing/2014/main" id="{954E5322-D4C7-4450-B16B-975CFFC7E800}"/>
            </a:ext>
          </a:extLst>
        </xdr:cNvPr>
        <xdr:cNvGrpSpPr/>
      </xdr:nvGrpSpPr>
      <xdr:grpSpPr>
        <a:xfrm>
          <a:off x="0" y="7491412"/>
          <a:ext cx="1687328" cy="551137"/>
          <a:chOff x="0" y="0"/>
          <a:chExt cx="3496166" cy="1419225"/>
        </a:xfrm>
      </xdr:grpSpPr>
      <xdr:pic>
        <xdr:nvPicPr>
          <xdr:cNvPr id="5" name="Imagen 2">
            <a:extLst>
              <a:ext uri="{FF2B5EF4-FFF2-40B4-BE49-F238E27FC236}">
                <a16:creationId xmlns:a16="http://schemas.microsoft.com/office/drawing/2014/main" id="{11AF7B12-2EDC-89A1-8C45-EAF539FF5B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5D72B356-BC30-6579-19C5-CFCEE268F6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83344</xdr:rowOff>
    </xdr:from>
    <xdr:to>
      <xdr:col>1</xdr:col>
      <xdr:colOff>1476376</xdr:colOff>
      <xdr:row>2</xdr:row>
      <xdr:rowOff>64303</xdr:rowOff>
    </xdr:to>
    <xdr:pic>
      <xdr:nvPicPr>
        <xdr:cNvPr id="4" name="Picture 3" descr="Imagen">
          <a:extLst>
            <a:ext uri="{FF2B5EF4-FFF2-40B4-BE49-F238E27FC236}">
              <a16:creationId xmlns:a16="http://schemas.microsoft.com/office/drawing/2014/main" id="{03B98B44-77E1-44D1-A53C-6ECAD14A7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3344"/>
          <a:ext cx="1428751" cy="314334"/>
        </a:xfrm>
        <a:prstGeom prst="rect">
          <a:avLst/>
        </a:prstGeom>
        <a:ln w="12700">
          <a:miter lim="400000"/>
        </a:ln>
      </xdr:spPr>
    </xdr:pic>
    <xdr:clientData/>
  </xdr:twoCellAnchor>
  <xdr:twoCellAnchor>
    <xdr:from>
      <xdr:col>0</xdr:col>
      <xdr:colOff>0</xdr:colOff>
      <xdr:row>23</xdr:row>
      <xdr:rowOff>119062</xdr:rowOff>
    </xdr:from>
    <xdr:to>
      <xdr:col>1</xdr:col>
      <xdr:colOff>1487303</xdr:colOff>
      <xdr:row>26</xdr:row>
      <xdr:rowOff>149499</xdr:rowOff>
    </xdr:to>
    <xdr:grpSp>
      <xdr:nvGrpSpPr>
        <xdr:cNvPr id="2" name="Grupo 3">
          <a:extLst>
            <a:ext uri="{FF2B5EF4-FFF2-40B4-BE49-F238E27FC236}">
              <a16:creationId xmlns:a16="http://schemas.microsoft.com/office/drawing/2014/main" id="{2B6575D8-DE1C-4C9D-8EC6-9E6AB9EEEADF}"/>
            </a:ext>
          </a:extLst>
        </xdr:cNvPr>
        <xdr:cNvGrpSpPr/>
      </xdr:nvGrpSpPr>
      <xdr:grpSpPr>
        <a:xfrm>
          <a:off x="0" y="3776662"/>
          <a:ext cx="1687328" cy="601937"/>
          <a:chOff x="0" y="0"/>
          <a:chExt cx="3496166" cy="1419225"/>
        </a:xfrm>
      </xdr:grpSpPr>
      <xdr:pic>
        <xdr:nvPicPr>
          <xdr:cNvPr id="7" name="Imagen 2">
            <a:extLst>
              <a:ext uri="{FF2B5EF4-FFF2-40B4-BE49-F238E27FC236}">
                <a16:creationId xmlns:a16="http://schemas.microsoft.com/office/drawing/2014/main" id="{A87F2484-5D6B-3C44-B119-EBC8AB9CA8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8" name="Imagen 1" descr="Logotipo&#10;&#10;Descripción generada automáticamente">
            <a:extLst>
              <a:ext uri="{FF2B5EF4-FFF2-40B4-BE49-F238E27FC236}">
                <a16:creationId xmlns:a16="http://schemas.microsoft.com/office/drawing/2014/main" id="{968549EA-3356-53B1-7584-00EE614821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63499</xdr:colOff>
      <xdr:row>0</xdr:row>
      <xdr:rowOff>84667</xdr:rowOff>
    </xdr:from>
    <xdr:to>
      <xdr:col>1</xdr:col>
      <xdr:colOff>1492250</xdr:colOff>
      <xdr:row>2</xdr:row>
      <xdr:rowOff>66684</xdr:rowOff>
    </xdr:to>
    <xdr:pic>
      <xdr:nvPicPr>
        <xdr:cNvPr id="2" name="Picture 1" descr="Imagen">
          <a:extLst>
            <a:ext uri="{FF2B5EF4-FFF2-40B4-BE49-F238E27FC236}">
              <a16:creationId xmlns:a16="http://schemas.microsoft.com/office/drawing/2014/main" id="{B377DFD6-604E-43A3-9B12-78BD23176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99" y="84667"/>
          <a:ext cx="1425576" cy="317509"/>
        </a:xfrm>
        <a:prstGeom prst="rect">
          <a:avLst/>
        </a:prstGeom>
        <a:ln w="12700">
          <a:miter lim="400000"/>
        </a:ln>
      </xdr:spPr>
    </xdr:pic>
    <xdr:clientData/>
  </xdr:twoCellAnchor>
  <xdr:twoCellAnchor>
    <xdr:from>
      <xdr:col>0</xdr:col>
      <xdr:colOff>0</xdr:colOff>
      <xdr:row>18</xdr:row>
      <xdr:rowOff>113168</xdr:rowOff>
    </xdr:from>
    <xdr:to>
      <xdr:col>1</xdr:col>
      <xdr:colOff>1487303</xdr:colOff>
      <xdr:row>21</xdr:row>
      <xdr:rowOff>158222</xdr:rowOff>
    </xdr:to>
    <xdr:grpSp>
      <xdr:nvGrpSpPr>
        <xdr:cNvPr id="4" name="Grupo 3">
          <a:extLst>
            <a:ext uri="{FF2B5EF4-FFF2-40B4-BE49-F238E27FC236}">
              <a16:creationId xmlns:a16="http://schemas.microsoft.com/office/drawing/2014/main" id="{E51D7972-6585-4107-83FB-0E7CCDEBDDE4}"/>
            </a:ext>
          </a:extLst>
        </xdr:cNvPr>
        <xdr:cNvGrpSpPr/>
      </xdr:nvGrpSpPr>
      <xdr:grpSpPr>
        <a:xfrm>
          <a:off x="0" y="3046868"/>
          <a:ext cx="1487303" cy="616554"/>
          <a:chOff x="0" y="0"/>
          <a:chExt cx="3496166" cy="1419225"/>
        </a:xfrm>
      </xdr:grpSpPr>
      <xdr:pic>
        <xdr:nvPicPr>
          <xdr:cNvPr id="5" name="Imagen 2">
            <a:extLst>
              <a:ext uri="{FF2B5EF4-FFF2-40B4-BE49-F238E27FC236}">
                <a16:creationId xmlns:a16="http://schemas.microsoft.com/office/drawing/2014/main" id="{D023F590-CC67-856F-F6E5-79E3B647D6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CCB15E4F-80C6-A47D-5597-DBA2E500A7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101600</xdr:rowOff>
    </xdr:from>
    <xdr:to>
      <xdr:col>0</xdr:col>
      <xdr:colOff>1466851</xdr:colOff>
      <xdr:row>2</xdr:row>
      <xdr:rowOff>73034</xdr:rowOff>
    </xdr:to>
    <xdr:pic>
      <xdr:nvPicPr>
        <xdr:cNvPr id="2" name="Picture 1" descr="Imagen">
          <a:extLst>
            <a:ext uri="{FF2B5EF4-FFF2-40B4-BE49-F238E27FC236}">
              <a16:creationId xmlns:a16="http://schemas.microsoft.com/office/drawing/2014/main" id="{9805B72A-C4D2-460F-B1C4-4019E2F936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01600"/>
          <a:ext cx="1428751" cy="317509"/>
        </a:xfrm>
        <a:prstGeom prst="rect">
          <a:avLst/>
        </a:prstGeom>
        <a:ln w="12700">
          <a:miter lim="400000"/>
        </a:ln>
      </xdr:spPr>
    </xdr:pic>
    <xdr:clientData/>
  </xdr:twoCellAnchor>
  <xdr:twoCellAnchor>
    <xdr:from>
      <xdr:col>0</xdr:col>
      <xdr:colOff>0</xdr:colOff>
      <xdr:row>13</xdr:row>
      <xdr:rowOff>143934</xdr:rowOff>
    </xdr:from>
    <xdr:to>
      <xdr:col>0</xdr:col>
      <xdr:colOff>1487303</xdr:colOff>
      <xdr:row>17</xdr:row>
      <xdr:rowOff>20912</xdr:rowOff>
    </xdr:to>
    <xdr:grpSp>
      <xdr:nvGrpSpPr>
        <xdr:cNvPr id="3" name="Grupo 3">
          <a:extLst>
            <a:ext uri="{FF2B5EF4-FFF2-40B4-BE49-F238E27FC236}">
              <a16:creationId xmlns:a16="http://schemas.microsoft.com/office/drawing/2014/main" id="{C5CA6FBD-C647-407A-829A-10BFC42DFAB6}"/>
            </a:ext>
          </a:extLst>
        </xdr:cNvPr>
        <xdr:cNvGrpSpPr/>
      </xdr:nvGrpSpPr>
      <xdr:grpSpPr>
        <a:xfrm>
          <a:off x="0" y="2725209"/>
          <a:ext cx="1487303" cy="638978"/>
          <a:chOff x="0" y="0"/>
          <a:chExt cx="3496166" cy="1419225"/>
        </a:xfrm>
      </xdr:grpSpPr>
      <xdr:pic>
        <xdr:nvPicPr>
          <xdr:cNvPr id="5" name="Imagen 2">
            <a:extLst>
              <a:ext uri="{FF2B5EF4-FFF2-40B4-BE49-F238E27FC236}">
                <a16:creationId xmlns:a16="http://schemas.microsoft.com/office/drawing/2014/main" id="{217DBEA1-A111-BEB3-7977-513CE0C212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28CD27F0-0A85-1F70-7218-240FFE607B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
  <sheetViews>
    <sheetView showGridLines="0" topLeftCell="A7" zoomScale="115" zoomScaleNormal="115" workbookViewId="0"/>
  </sheetViews>
  <sheetFormatPr defaultColWidth="11.42578125"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9" tint="0.79998168889431442"/>
  </sheetPr>
  <dimension ref="A4:N23"/>
  <sheetViews>
    <sheetView zoomScaleNormal="100" workbookViewId="0"/>
  </sheetViews>
  <sheetFormatPr defaultColWidth="11.42578125" defaultRowHeight="15"/>
  <cols>
    <col min="1" max="1" width="27.42578125" style="42" customWidth="1"/>
    <col min="2" max="4" width="7.5703125" style="42" hidden="1" customWidth="1"/>
    <col min="5" max="14" width="7.5703125" style="42" customWidth="1"/>
    <col min="15" max="17" width="8" style="42" customWidth="1"/>
    <col min="18" max="16384" width="11.42578125" style="42"/>
  </cols>
  <sheetData>
    <row r="4" spans="1:14" ht="23.25">
      <c r="A4" s="11" t="s">
        <v>0</v>
      </c>
      <c r="B4" s="12"/>
      <c r="C4" s="12"/>
      <c r="D4" s="12"/>
      <c r="E4" s="12"/>
      <c r="F4" s="12"/>
      <c r="G4" s="12"/>
      <c r="H4" s="12"/>
      <c r="I4" s="12"/>
      <c r="J4" s="12"/>
      <c r="K4" s="12"/>
      <c r="L4" s="12"/>
      <c r="M4" s="12"/>
      <c r="N4" s="12"/>
    </row>
    <row r="5" spans="1:14" ht="14.25" customHeight="1">
      <c r="A5" s="1"/>
      <c r="B5" s="1"/>
    </row>
    <row r="6" spans="1:14">
      <c r="A6" s="3" t="s">
        <v>233</v>
      </c>
      <c r="B6" s="134">
        <v>2018</v>
      </c>
      <c r="C6" s="134">
        <v>2021</v>
      </c>
      <c r="D6" s="134">
        <v>2022</v>
      </c>
      <c r="E6" s="134">
        <v>2023</v>
      </c>
      <c r="F6" s="134">
        <v>2024</v>
      </c>
      <c r="G6" s="134">
        <v>2025</v>
      </c>
      <c r="H6" s="134">
        <v>2026</v>
      </c>
      <c r="I6" s="134">
        <v>2027</v>
      </c>
      <c r="J6" s="134">
        <v>2028</v>
      </c>
      <c r="K6" s="134">
        <v>2029</v>
      </c>
      <c r="L6" s="134">
        <v>2030</v>
      </c>
      <c r="M6" s="134">
        <v>2031</v>
      </c>
      <c r="N6" s="134">
        <v>2032</v>
      </c>
    </row>
    <row r="7" spans="1:14">
      <c r="A7" s="3" t="s">
        <v>166</v>
      </c>
      <c r="B7" s="134"/>
      <c r="C7" s="134"/>
      <c r="D7" s="134"/>
      <c r="E7" s="134"/>
      <c r="F7" s="134"/>
      <c r="G7" s="134"/>
      <c r="H7" s="134"/>
      <c r="I7" s="134"/>
      <c r="J7" s="134"/>
      <c r="K7" s="134"/>
      <c r="L7" s="134"/>
      <c r="M7" s="134"/>
      <c r="N7" s="134"/>
    </row>
    <row r="8" spans="1:14" ht="8.25" customHeight="1">
      <c r="A8" s="1"/>
      <c r="B8" s="1"/>
    </row>
    <row r="9" spans="1:14" ht="16.5">
      <c r="A9" s="5" t="s">
        <v>234</v>
      </c>
      <c r="B9" s="7">
        <v>0</v>
      </c>
      <c r="C9" s="65"/>
      <c r="D9" s="65"/>
      <c r="E9" s="65"/>
      <c r="F9" s="65"/>
      <c r="G9" s="65">
        <v>0</v>
      </c>
      <c r="H9" s="65">
        <v>0</v>
      </c>
      <c r="I9" s="65">
        <v>500</v>
      </c>
      <c r="J9" s="65">
        <v>0</v>
      </c>
      <c r="K9" s="65">
        <v>360</v>
      </c>
      <c r="L9" s="65">
        <v>500</v>
      </c>
      <c r="M9" s="65">
        <v>0</v>
      </c>
      <c r="N9" s="65">
        <v>600</v>
      </c>
    </row>
    <row r="14" spans="1:14" ht="23.25">
      <c r="A14" s="11" t="s">
        <v>29</v>
      </c>
      <c r="B14" s="12"/>
      <c r="C14" s="12"/>
      <c r="D14" s="12"/>
      <c r="E14" s="12"/>
      <c r="F14" s="12"/>
      <c r="G14" s="12"/>
      <c r="H14" s="12"/>
      <c r="I14" s="12"/>
      <c r="J14" s="12"/>
      <c r="K14" s="12"/>
      <c r="L14" s="12"/>
      <c r="M14" s="12"/>
      <c r="N14" s="12"/>
    </row>
    <row r="15" spans="1:14" ht="13.5" customHeight="1">
      <c r="A15" s="1"/>
      <c r="B15" s="1"/>
    </row>
    <row r="16" spans="1:14">
      <c r="A16" s="3" t="s">
        <v>233</v>
      </c>
      <c r="B16" s="134">
        <v>2018</v>
      </c>
      <c r="C16" s="134">
        <v>2021</v>
      </c>
      <c r="D16" s="134">
        <v>2022</v>
      </c>
      <c r="E16" s="134">
        <v>2023</v>
      </c>
      <c r="F16" s="134">
        <v>2024</v>
      </c>
      <c r="G16" s="134">
        <v>2025</v>
      </c>
      <c r="H16" s="134">
        <v>2026</v>
      </c>
      <c r="I16" s="134">
        <v>2027</v>
      </c>
      <c r="J16" s="137">
        <v>2028</v>
      </c>
      <c r="K16" s="134">
        <v>2029</v>
      </c>
      <c r="L16" s="134">
        <v>2030</v>
      </c>
      <c r="M16" s="134">
        <v>2031</v>
      </c>
      <c r="N16" s="134">
        <v>2032</v>
      </c>
    </row>
    <row r="17" spans="1:14">
      <c r="A17" s="3" t="s">
        <v>166</v>
      </c>
      <c r="B17" s="134"/>
      <c r="C17" s="134"/>
      <c r="D17" s="134"/>
      <c r="E17" s="134"/>
      <c r="F17" s="134"/>
      <c r="G17" s="134"/>
      <c r="H17" s="134"/>
      <c r="I17" s="134"/>
      <c r="J17" s="137"/>
      <c r="K17" s="134"/>
      <c r="L17" s="134"/>
      <c r="M17" s="134"/>
      <c r="N17" s="134"/>
    </row>
    <row r="18" spans="1:14">
      <c r="A18" s="1"/>
      <c r="B18" s="1"/>
    </row>
    <row r="19" spans="1:14" ht="16.5">
      <c r="A19" s="5" t="s">
        <v>93</v>
      </c>
      <c r="B19" s="7">
        <v>0</v>
      </c>
      <c r="C19" s="64"/>
      <c r="D19" s="64">
        <v>0</v>
      </c>
      <c r="E19" s="64"/>
      <c r="F19" s="64"/>
      <c r="G19" s="64">
        <v>8</v>
      </c>
      <c r="H19" s="64">
        <v>18</v>
      </c>
      <c r="I19" s="64">
        <v>168</v>
      </c>
      <c r="J19" s="51">
        <v>0</v>
      </c>
      <c r="K19" s="51">
        <v>0</v>
      </c>
      <c r="L19" s="51">
        <v>0</v>
      </c>
      <c r="M19" s="51">
        <v>0</v>
      </c>
      <c r="N19" s="51">
        <v>0</v>
      </c>
    </row>
    <row r="21" spans="1:14">
      <c r="A21" s="1" t="s">
        <v>235</v>
      </c>
      <c r="B21" s="1"/>
      <c r="C21" s="1"/>
      <c r="D21" s="1"/>
      <c r="E21" s="1"/>
      <c r="F21" s="1"/>
      <c r="G21" s="1"/>
      <c r="H21" s="1"/>
      <c r="I21" s="1"/>
    </row>
    <row r="22" spans="1:14">
      <c r="A22" s="1"/>
      <c r="B22" s="1"/>
      <c r="C22" s="1"/>
      <c r="D22" s="1"/>
      <c r="E22" s="1"/>
      <c r="F22" s="1"/>
    </row>
    <row r="23" spans="1:14">
      <c r="A23" s="1"/>
      <c r="B23" s="1"/>
      <c r="C23" s="1"/>
      <c r="D23" s="1"/>
      <c r="E23" s="1"/>
      <c r="F23" s="1"/>
    </row>
  </sheetData>
  <mergeCells count="26">
    <mergeCell ref="B16:B17"/>
    <mergeCell ref="C16:C17"/>
    <mergeCell ref="D16:D17"/>
    <mergeCell ref="L6:L7"/>
    <mergeCell ref="L16:L17"/>
    <mergeCell ref="K6:K7"/>
    <mergeCell ref="C6:C7"/>
    <mergeCell ref="D6:D7"/>
    <mergeCell ref="J6:J7"/>
    <mergeCell ref="I6:I7"/>
    <mergeCell ref="M16:M17"/>
    <mergeCell ref="N16:N17"/>
    <mergeCell ref="M6:M7"/>
    <mergeCell ref="N6:N7"/>
    <mergeCell ref="B6:B7"/>
    <mergeCell ref="J16:J17"/>
    <mergeCell ref="K16:K17"/>
    <mergeCell ref="F16:F17"/>
    <mergeCell ref="G16:G17"/>
    <mergeCell ref="H16:H17"/>
    <mergeCell ref="I16:I17"/>
    <mergeCell ref="E6:E7"/>
    <mergeCell ref="E16:E17"/>
    <mergeCell ref="F6:F7"/>
    <mergeCell ref="G6:G7"/>
    <mergeCell ref="H6:H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0E90-A9BD-4D06-9760-410B064315E4}">
  <sheetPr>
    <tabColor theme="9" tint="0.79998168889431442"/>
  </sheetPr>
  <dimension ref="A4:BQ40"/>
  <sheetViews>
    <sheetView tabSelected="1" topLeftCell="B1" zoomScaleNormal="100" workbookViewId="0"/>
  </sheetViews>
  <sheetFormatPr defaultColWidth="11.42578125" defaultRowHeight="15"/>
  <cols>
    <col min="1" max="1" width="0" style="1" hidden="1" customWidth="1"/>
    <col min="2" max="2" width="57" style="1" customWidth="1"/>
    <col min="3" max="6" width="11.42578125" style="1"/>
    <col min="7" max="7" width="11.42578125" style="53"/>
    <col min="8" max="8" width="53.85546875" style="1" bestFit="1" customWidth="1"/>
    <col min="9" max="11" width="7.7109375" style="1" bestFit="1" customWidth="1"/>
    <col min="12" max="12" width="7.85546875" style="1" bestFit="1" customWidth="1"/>
    <col min="13" max="14" width="7.7109375" style="1" bestFit="1" customWidth="1"/>
    <col min="15" max="18" width="9.5703125" style="1" bestFit="1" customWidth="1"/>
    <col min="19" max="19" width="8.42578125" style="1" bestFit="1" customWidth="1"/>
    <col min="20" max="23" width="7.7109375" style="1" bestFit="1" customWidth="1"/>
    <col min="24" max="24" width="7.85546875" style="1" bestFit="1" customWidth="1"/>
    <col min="25" max="25" width="7.7109375" style="1" bestFit="1" customWidth="1"/>
    <col min="26" max="26" width="8.42578125" style="1" bestFit="1" customWidth="1"/>
    <col min="27" max="27" width="7.7109375" style="1" bestFit="1" customWidth="1"/>
    <col min="28" max="28" width="7.85546875" style="1" bestFit="1" customWidth="1"/>
    <col min="29" max="29" width="7.7109375" style="1" bestFit="1" customWidth="1"/>
    <col min="30" max="30" width="8.42578125" style="1" bestFit="1" customWidth="1"/>
    <col min="31" max="31" width="7.7109375" style="1" bestFit="1" customWidth="1"/>
    <col min="32" max="32" width="7.85546875" style="1" bestFit="1" customWidth="1"/>
    <col min="33" max="33" width="7.7109375" style="1" bestFit="1" customWidth="1"/>
    <col min="34" max="34" width="8.42578125" style="1" bestFit="1" customWidth="1"/>
    <col min="35" max="35" width="7.7109375" style="1" bestFit="1" customWidth="1"/>
    <col min="36" max="36" width="7.85546875" style="1" bestFit="1" customWidth="1"/>
    <col min="37" max="45" width="9.5703125" style="1" bestFit="1" customWidth="1"/>
    <col min="46" max="46" width="8.42578125" style="1" bestFit="1" customWidth="1"/>
    <col min="47" max="48" width="9.5703125" style="1" bestFit="1" customWidth="1"/>
    <col min="49" max="51" width="7.7109375" style="1" bestFit="1" customWidth="1"/>
    <col min="52" max="52" width="8.42578125" style="1" bestFit="1" customWidth="1"/>
    <col min="53" max="54" width="7.7109375" style="1" bestFit="1" customWidth="1"/>
    <col min="55" max="16384" width="11.42578125" style="1"/>
  </cols>
  <sheetData>
    <row r="4" spans="1:69" ht="23.2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row>
    <row r="6" spans="1:69">
      <c r="A6" s="1">
        <v>1</v>
      </c>
      <c r="B6" s="3" t="s">
        <v>244</v>
      </c>
      <c r="C6" s="134" t="s">
        <v>141</v>
      </c>
      <c r="D6" s="134" t="s">
        <v>237</v>
      </c>
      <c r="E6" s="134" t="s">
        <v>100</v>
      </c>
      <c r="G6" s="53">
        <v>1</v>
      </c>
      <c r="H6" s="3" t="s">
        <v>244</v>
      </c>
      <c r="I6" s="134" t="s">
        <v>101</v>
      </c>
      <c r="J6" s="134" t="s">
        <v>102</v>
      </c>
      <c r="K6" s="134" t="s">
        <v>103</v>
      </c>
      <c r="L6" s="134" t="s">
        <v>104</v>
      </c>
      <c r="M6" s="134" t="s">
        <v>105</v>
      </c>
      <c r="N6" s="134" t="s">
        <v>106</v>
      </c>
      <c r="O6" s="134" t="s">
        <v>107</v>
      </c>
      <c r="P6" s="134" t="s">
        <v>108</v>
      </c>
      <c r="Q6" s="134" t="s">
        <v>109</v>
      </c>
      <c r="R6" s="134" t="s">
        <v>110</v>
      </c>
      <c r="S6" s="134" t="s">
        <v>111</v>
      </c>
      <c r="T6" s="134" t="s">
        <v>112</v>
      </c>
      <c r="U6" s="134" t="s">
        <v>113</v>
      </c>
      <c r="V6" s="134" t="s">
        <v>114</v>
      </c>
      <c r="W6" s="134" t="s">
        <v>115</v>
      </c>
      <c r="X6" s="134" t="s">
        <v>116</v>
      </c>
      <c r="Y6" s="134" t="s">
        <v>117</v>
      </c>
      <c r="Z6" s="134" t="s">
        <v>118</v>
      </c>
      <c r="AA6" s="134" t="s">
        <v>119</v>
      </c>
      <c r="AB6" s="134" t="s">
        <v>120</v>
      </c>
      <c r="AC6" s="134" t="s">
        <v>121</v>
      </c>
      <c r="AD6" s="134" t="s">
        <v>122</v>
      </c>
      <c r="AE6" s="134" t="s">
        <v>123</v>
      </c>
      <c r="AF6" s="134" t="s">
        <v>124</v>
      </c>
      <c r="AG6" s="134" t="s">
        <v>125</v>
      </c>
      <c r="AH6" s="134" t="s">
        <v>126</v>
      </c>
      <c r="AI6" s="134" t="s">
        <v>127</v>
      </c>
      <c r="AJ6" s="134" t="s">
        <v>128</v>
      </c>
      <c r="AK6" s="134" t="s">
        <v>129</v>
      </c>
      <c r="AL6" s="134" t="s">
        <v>130</v>
      </c>
      <c r="AM6" s="134" t="s">
        <v>131</v>
      </c>
      <c r="AN6" s="134" t="s">
        <v>132</v>
      </c>
      <c r="AO6" s="134" t="s">
        <v>133</v>
      </c>
      <c r="AP6" s="134" t="s">
        <v>134</v>
      </c>
      <c r="AQ6" s="134" t="s">
        <v>135</v>
      </c>
      <c r="AR6" s="134" t="s">
        <v>136</v>
      </c>
      <c r="AS6" s="134" t="s">
        <v>137</v>
      </c>
      <c r="AT6" s="134" t="s">
        <v>138</v>
      </c>
      <c r="AU6" s="134" t="s">
        <v>139</v>
      </c>
      <c r="AV6" s="134" t="s">
        <v>98</v>
      </c>
      <c r="AW6" s="134" t="s">
        <v>140</v>
      </c>
      <c r="AX6" s="134" t="s">
        <v>141</v>
      </c>
      <c r="AY6" s="134" t="s">
        <v>142</v>
      </c>
      <c r="AZ6" s="134" t="s">
        <v>99</v>
      </c>
      <c r="BA6" s="134" t="s">
        <v>236</v>
      </c>
      <c r="BB6" s="134" t="s">
        <v>237</v>
      </c>
    </row>
    <row r="7" spans="1:69">
      <c r="A7" s="1">
        <v>2</v>
      </c>
      <c r="B7" s="3" t="s">
        <v>166</v>
      </c>
      <c r="C7" s="134"/>
      <c r="D7" s="134"/>
      <c r="E7" s="134"/>
      <c r="G7" s="53">
        <f>G6+1</f>
        <v>2</v>
      </c>
      <c r="H7" s="3" t="s">
        <v>166</v>
      </c>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row>
    <row r="8" spans="1:69">
      <c r="A8" s="1">
        <v>3</v>
      </c>
      <c r="G8" s="53">
        <f t="shared" ref="G8:G18" si="0">G7+1</f>
        <v>3</v>
      </c>
      <c r="BA8" s="128"/>
      <c r="BB8" s="128"/>
    </row>
    <row r="9" spans="1:69">
      <c r="A9" s="1">
        <v>4</v>
      </c>
      <c r="B9" s="6" t="s">
        <v>245</v>
      </c>
      <c r="C9" s="9">
        <f>HLOOKUP($C$6,$H$6:$BO$18,$G9,FALSE)</f>
        <v>913.52394420999997</v>
      </c>
      <c r="D9" s="9">
        <f>HLOOKUP($D$6,$H$6:$BO$18,$G9,FALSE)</f>
        <v>692.58163951661174</v>
      </c>
      <c r="E9" s="34">
        <f>D9/C9-1</f>
        <v>-0.24185715776115246</v>
      </c>
      <c r="G9" s="53">
        <f t="shared" si="0"/>
        <v>4</v>
      </c>
      <c r="H9" s="6" t="s">
        <v>246</v>
      </c>
      <c r="I9" s="18">
        <v>260.39999999999998</v>
      </c>
      <c r="J9" s="9">
        <v>208.29999999999998</v>
      </c>
      <c r="K9" s="9">
        <v>337.4</v>
      </c>
      <c r="L9" s="9">
        <v>878.3</v>
      </c>
      <c r="M9" s="9">
        <v>832.8</v>
      </c>
      <c r="N9" s="9">
        <v>816.69999999999993</v>
      </c>
      <c r="O9" s="9">
        <v>912.49099999999987</v>
      </c>
      <c r="P9" s="9">
        <v>1090.6089999999999</v>
      </c>
      <c r="Q9" s="9">
        <v>1080.8256289999999</v>
      </c>
      <c r="R9" s="9">
        <v>1042.8013145999998</v>
      </c>
      <c r="S9" s="9">
        <v>827.98442899999998</v>
      </c>
      <c r="T9" s="9">
        <v>577.45219999999995</v>
      </c>
      <c r="U9" s="9">
        <v>644.96532536999996</v>
      </c>
      <c r="V9" s="9">
        <v>625.20732536999992</v>
      </c>
      <c r="W9" s="9">
        <v>642.65332536999983</v>
      </c>
      <c r="X9" s="9">
        <v>732.58632536999994</v>
      </c>
      <c r="Y9" s="9">
        <v>757.34441991999984</v>
      </c>
      <c r="Z9" s="9">
        <v>840.16941991999988</v>
      </c>
      <c r="AA9" s="9">
        <v>643.25441991999992</v>
      </c>
      <c r="AB9" s="9">
        <v>738.24441991999993</v>
      </c>
      <c r="AC9" s="9">
        <v>764.4089199199999</v>
      </c>
      <c r="AD9" s="9">
        <v>802.70891991999986</v>
      </c>
      <c r="AE9" s="9">
        <v>649.84441992000006</v>
      </c>
      <c r="AF9" s="9">
        <v>766.85041991999992</v>
      </c>
      <c r="AG9" s="9">
        <v>773.64969842999994</v>
      </c>
      <c r="AH9" s="9">
        <v>951.04969842999992</v>
      </c>
      <c r="AI9" s="9">
        <v>813.14969842999994</v>
      </c>
      <c r="AJ9" s="9">
        <v>938.64969842999994</v>
      </c>
      <c r="AK9" s="9">
        <v>905.47899842999993</v>
      </c>
      <c r="AL9" s="9">
        <v>1006.0806684300001</v>
      </c>
      <c r="AM9" s="9">
        <v>757.01755843000001</v>
      </c>
      <c r="AN9" s="9">
        <v>1864.68255843</v>
      </c>
      <c r="AO9" s="9">
        <v>1391.2534867299998</v>
      </c>
      <c r="AP9" s="9">
        <v>1175.0958348099998</v>
      </c>
      <c r="AQ9" s="9">
        <v>950.63473795999971</v>
      </c>
      <c r="AR9" s="9">
        <v>1150.6624691799996</v>
      </c>
      <c r="AS9" s="9">
        <v>1067.4524574799998</v>
      </c>
      <c r="AT9" s="9">
        <v>985.32754586981616</v>
      </c>
      <c r="AU9" s="9">
        <v>882.19505667323585</v>
      </c>
      <c r="AV9" s="9">
        <v>1092.87394421</v>
      </c>
      <c r="AW9" s="9">
        <v>947.52394420999997</v>
      </c>
      <c r="AX9" s="9">
        <v>913.52394420999997</v>
      </c>
      <c r="AY9" s="9">
        <v>824.88994420999995</v>
      </c>
      <c r="AZ9" s="9">
        <v>868.04214885441604</v>
      </c>
      <c r="BA9" s="9">
        <v>690.76614885441609</v>
      </c>
      <c r="BB9" s="9">
        <v>692.58163951661174</v>
      </c>
      <c r="BC9" s="146"/>
      <c r="BD9" s="146"/>
      <c r="BE9" s="139"/>
      <c r="BF9" s="139"/>
      <c r="BG9" s="139"/>
      <c r="BH9" s="139"/>
      <c r="BI9" s="139"/>
      <c r="BJ9" s="139"/>
      <c r="BK9" s="139"/>
      <c r="BL9" s="139"/>
      <c r="BM9" s="139"/>
      <c r="BN9" s="138"/>
      <c r="BP9" s="138"/>
    </row>
    <row r="10" spans="1:69" ht="8.25" customHeight="1">
      <c r="A10" s="1">
        <v>5</v>
      </c>
      <c r="G10" s="53">
        <f t="shared" si="0"/>
        <v>5</v>
      </c>
      <c r="I10" s="140"/>
      <c r="J10" s="140"/>
      <c r="K10" s="140"/>
      <c r="L10" s="140"/>
      <c r="M10" s="140"/>
      <c r="N10" s="140"/>
      <c r="O10" s="140"/>
      <c r="P10" s="140"/>
      <c r="BC10" s="146"/>
      <c r="BD10" s="146"/>
      <c r="BG10" s="138"/>
    </row>
    <row r="11" spans="1:69">
      <c r="A11" s="1">
        <v>6</v>
      </c>
      <c r="B11" s="5" t="s">
        <v>247</v>
      </c>
      <c r="C11" s="8">
        <f>HLOOKUP($C$6,$H$6:$BO$18,$G11,FALSE)</f>
        <v>-31.430000000000003</v>
      </c>
      <c r="D11" s="8">
        <f>HLOOKUP($D$6,$H$6:$BO$18,$G11,FALSE)</f>
        <v>134.14745310999973</v>
      </c>
      <c r="E11" s="44">
        <f t="shared" ref="E11:E14" si="1">+D11/C11-1</f>
        <v>-5.2681340474069271</v>
      </c>
      <c r="G11" s="53">
        <f t="shared" si="0"/>
        <v>6</v>
      </c>
      <c r="H11" s="5" t="s">
        <v>247</v>
      </c>
      <c r="I11" s="17">
        <v>83.1</v>
      </c>
      <c r="J11" s="17">
        <v>196.8</v>
      </c>
      <c r="K11" s="17">
        <v>148.9</v>
      </c>
      <c r="L11" s="17">
        <v>166.8</v>
      </c>
      <c r="M11" s="17">
        <v>77.2</v>
      </c>
      <c r="N11" s="17">
        <v>157.346</v>
      </c>
      <c r="O11" s="17">
        <v>235.101</v>
      </c>
      <c r="P11" s="17">
        <v>248.51662899999999</v>
      </c>
      <c r="Q11" s="8">
        <v>98.175600000000003</v>
      </c>
      <c r="R11" s="8">
        <v>151.8321</v>
      </c>
      <c r="S11" s="8">
        <v>100.69827099999998</v>
      </c>
      <c r="T11" s="8">
        <v>151.289929</v>
      </c>
      <c r="U11" s="8">
        <v>87.41</v>
      </c>
      <c r="V11" s="8">
        <v>118.98099999999998</v>
      </c>
      <c r="W11" s="8">
        <v>145.17400000000004</v>
      </c>
      <c r="X11" s="8">
        <v>172.24999999999994</v>
      </c>
      <c r="Y11" s="8">
        <v>121.57799999999999</v>
      </c>
      <c r="Z11" s="8">
        <v>83.737000000000023</v>
      </c>
      <c r="AA11" s="8">
        <v>134.78500000000003</v>
      </c>
      <c r="AB11" s="8">
        <v>142.709</v>
      </c>
      <c r="AC11" s="8">
        <v>74.899999999999991</v>
      </c>
      <c r="AD11" s="8">
        <v>154</v>
      </c>
      <c r="AE11" s="8">
        <v>151.304</v>
      </c>
      <c r="AF11" s="8">
        <v>128.99599999999998</v>
      </c>
      <c r="AG11" s="8">
        <v>89.4</v>
      </c>
      <c r="AH11" s="8">
        <v>78.900000000000006</v>
      </c>
      <c r="AI11" s="8">
        <v>154.19999999999999</v>
      </c>
      <c r="AJ11" s="8">
        <v>139.4</v>
      </c>
      <c r="AK11" s="8">
        <v>96.825970000000012</v>
      </c>
      <c r="AL11" s="8">
        <v>93.198890000000006</v>
      </c>
      <c r="AM11" s="8">
        <v>73.920999999999992</v>
      </c>
      <c r="AN11" s="8">
        <v>5.0966956799996019</v>
      </c>
      <c r="AO11" s="8">
        <v>35.97561807999994</v>
      </c>
      <c r="AP11" s="8">
        <v>-87.71665885000013</v>
      </c>
      <c r="AQ11" s="8">
        <v>300.2758604500001</v>
      </c>
      <c r="AR11" s="8">
        <v>147.25068006999999</v>
      </c>
      <c r="AS11" s="8">
        <v>61.481915389816294</v>
      </c>
      <c r="AT11" s="8">
        <v>78.956926863420193</v>
      </c>
      <c r="AU11" s="8">
        <v>342.56115774676402</v>
      </c>
      <c r="AV11" s="8">
        <v>161.25</v>
      </c>
      <c r="AW11" s="8">
        <v>57.2</v>
      </c>
      <c r="AX11" s="8">
        <v>-31.430000000000003</v>
      </c>
      <c r="AY11" s="8">
        <v>129.19120464441602</v>
      </c>
      <c r="AZ11" s="8">
        <v>188.38799999999998</v>
      </c>
      <c r="BA11" s="8">
        <v>75.161000000000001</v>
      </c>
      <c r="BB11" s="8">
        <v>134.14745310999973</v>
      </c>
      <c r="BC11" s="146"/>
      <c r="BD11" s="146"/>
      <c r="BE11" s="141"/>
      <c r="BF11" s="141"/>
      <c r="BG11" s="141"/>
      <c r="BH11" s="141"/>
      <c r="BI11" s="141"/>
      <c r="BJ11" s="141"/>
      <c r="BK11" s="141"/>
      <c r="BL11" s="141"/>
      <c r="BM11" s="141"/>
      <c r="BN11" s="141"/>
      <c r="BO11" s="141"/>
      <c r="BP11" s="141"/>
      <c r="BQ11" s="142"/>
    </row>
    <row r="12" spans="1:69">
      <c r="A12" s="1">
        <v>7</v>
      </c>
      <c r="B12" s="5" t="s">
        <v>248</v>
      </c>
      <c r="C12" s="8">
        <f>HLOOKUP($C$6,$H$6:$BO$18,$G12,FALSE)</f>
        <v>-18.350999999999996</v>
      </c>
      <c r="D12" s="8">
        <f>HLOOKUP($D$6,$H$6:$BO$18,$G12,FALSE)</f>
        <v>-42.739000000000004</v>
      </c>
      <c r="E12" s="44" t="s">
        <v>148</v>
      </c>
      <c r="G12" s="53">
        <f t="shared" si="0"/>
        <v>7</v>
      </c>
      <c r="H12" s="5" t="s">
        <v>249</v>
      </c>
      <c r="I12" s="8">
        <v>-83.1</v>
      </c>
      <c r="J12" s="8">
        <v>-47.1</v>
      </c>
      <c r="K12" s="8">
        <v>430.9</v>
      </c>
      <c r="L12" s="8">
        <v>-184</v>
      </c>
      <c r="M12" s="8">
        <v>-67.3</v>
      </c>
      <c r="N12" s="8">
        <v>-41.454999999999998</v>
      </c>
      <c r="O12" s="8">
        <v>-29.039999999999992</v>
      </c>
      <c r="P12" s="8">
        <v>-31.8</v>
      </c>
      <c r="Q12" s="8">
        <v>-73.321899999999999</v>
      </c>
      <c r="R12" s="8">
        <v>-333.88489999999996</v>
      </c>
      <c r="S12" s="8">
        <v>-281.13549999999998</v>
      </c>
      <c r="T12" s="8">
        <v>-20.301699999999993</v>
      </c>
      <c r="U12" s="8">
        <v>-71.287000000000006</v>
      </c>
      <c r="V12" s="8">
        <v>-73.373999999999995</v>
      </c>
      <c r="W12" s="8">
        <v>-26.250000000000018</v>
      </c>
      <c r="X12" s="8">
        <v>-133.18200000000002</v>
      </c>
      <c r="Y12" s="8">
        <v>-1.7210000000000001</v>
      </c>
      <c r="Z12" s="8">
        <v>-234.536</v>
      </c>
      <c r="AA12" s="8">
        <v>-11.242999999999999</v>
      </c>
      <c r="AB12" s="8">
        <v>-143.55599999999998</v>
      </c>
      <c r="AC12" s="8">
        <v>-22.200000000000003</v>
      </c>
      <c r="AD12" s="8">
        <v>-284.3</v>
      </c>
      <c r="AE12" s="8">
        <v>-12.069000000000003</v>
      </c>
      <c r="AF12" s="8">
        <v>-124.13100000000001</v>
      </c>
      <c r="AG12" s="8">
        <v>104.60000000000001</v>
      </c>
      <c r="AH12" s="8">
        <v>-200.4</v>
      </c>
      <c r="AI12" s="8">
        <v>-11.800000000000004</v>
      </c>
      <c r="AJ12" s="8">
        <v>-113.5</v>
      </c>
      <c r="AK12" s="8">
        <v>-14.065000000000001</v>
      </c>
      <c r="AL12" s="8">
        <v>-280.87299999999999</v>
      </c>
      <c r="AM12" s="8">
        <v>-12.523999999999997</v>
      </c>
      <c r="AN12" s="8">
        <v>-437.06784999999996</v>
      </c>
      <c r="AO12" s="8">
        <v>-213.036598</v>
      </c>
      <c r="AP12" s="8">
        <v>-82.088413999999972</v>
      </c>
      <c r="AQ12" s="8">
        <v>-26.361958999999999</v>
      </c>
      <c r="AR12" s="8">
        <v>-94.004051000000089</v>
      </c>
      <c r="AS12" s="8">
        <v>-43.773392000000001</v>
      </c>
      <c r="AT12" s="8">
        <v>-153.82572009999998</v>
      </c>
      <c r="AU12" s="8">
        <v>-21.000887899999999</v>
      </c>
      <c r="AV12" s="8">
        <v>-177.1</v>
      </c>
      <c r="AW12" s="8">
        <v>-25.400000000000002</v>
      </c>
      <c r="AX12" s="8">
        <v>-18.350999999999996</v>
      </c>
      <c r="AY12" s="8">
        <v>-24.974</v>
      </c>
      <c r="AZ12" s="8">
        <v>79.074000000000012</v>
      </c>
      <c r="BA12" s="8">
        <v>-25.882000000000001</v>
      </c>
      <c r="BB12" s="8">
        <v>-42.739000000000004</v>
      </c>
      <c r="BC12" s="146"/>
      <c r="BD12" s="146"/>
      <c r="BE12" s="141"/>
      <c r="BF12" s="141"/>
      <c r="BG12" s="141"/>
      <c r="BH12" s="141"/>
      <c r="BI12" s="141"/>
      <c r="BJ12" s="141"/>
      <c r="BK12" s="141"/>
      <c r="BL12" s="141"/>
      <c r="BM12" s="141"/>
      <c r="BN12" s="141"/>
      <c r="BO12" s="141"/>
      <c r="BP12" s="141"/>
      <c r="BQ12" s="142"/>
    </row>
    <row r="13" spans="1:69">
      <c r="A13" s="1">
        <v>8</v>
      </c>
      <c r="B13" s="5" t="s">
        <v>250</v>
      </c>
      <c r="C13" s="8">
        <f>HLOOKUP($C$6,$H$6:$BO$18,$G13,FALSE)</f>
        <v>-39.027000000000001</v>
      </c>
      <c r="D13" s="8">
        <f>HLOOKUP($D$6,$H$6:$BO$18,$G13,FALSE)</f>
        <v>-97.58489999999999</v>
      </c>
      <c r="E13" s="44" t="s">
        <v>148</v>
      </c>
      <c r="G13" s="53">
        <f t="shared" si="0"/>
        <v>8</v>
      </c>
      <c r="H13" s="5" t="s">
        <v>251</v>
      </c>
      <c r="I13" s="8">
        <v>-48.027000000000001</v>
      </c>
      <c r="J13" s="8">
        <v>-18.8</v>
      </c>
      <c r="K13" s="8">
        <v>-20.3</v>
      </c>
      <c r="L13" s="8">
        <v>-33.9</v>
      </c>
      <c r="M13" s="8">
        <v>-26.3</v>
      </c>
      <c r="N13" s="8">
        <v>-19.755999999999997</v>
      </c>
      <c r="O13" s="8">
        <v>-22.811000000000007</v>
      </c>
      <c r="P13" s="8">
        <v>-225</v>
      </c>
      <c r="Q13" s="8">
        <v>-27.2916144</v>
      </c>
      <c r="R13" s="8">
        <v>-35.178085600000003</v>
      </c>
      <c r="S13" s="8">
        <v>-70.541000000000011</v>
      </c>
      <c r="T13" s="8">
        <v>-61.438103630000001</v>
      </c>
      <c r="U13" s="8">
        <v>-36.849000000000004</v>
      </c>
      <c r="V13" s="8">
        <v>-27.785000000000032</v>
      </c>
      <c r="W13" s="8">
        <v>-32.204999999999977</v>
      </c>
      <c r="X13" s="8">
        <v>-22.740905450000017</v>
      </c>
      <c r="Y13" s="8">
        <v>-40.059999999999995</v>
      </c>
      <c r="Z13" s="8">
        <v>-30.340000000000011</v>
      </c>
      <c r="AA13" s="8">
        <v>-25.699999999999989</v>
      </c>
      <c r="AB13" s="8">
        <v>32.133000000000003</v>
      </c>
      <c r="AC13" s="8">
        <v>-17.100000000000001</v>
      </c>
      <c r="AD13" s="8">
        <v>-18.999999999999996</v>
      </c>
      <c r="AE13" s="8">
        <v>-17.062999999999999</v>
      </c>
      <c r="AF13" s="8">
        <v>3.2630000000000008</v>
      </c>
      <c r="AG13" s="8">
        <v>-14.500000000000002</v>
      </c>
      <c r="AH13" s="8">
        <v>-13.700000000000001</v>
      </c>
      <c r="AI13" s="8">
        <v>-21.4</v>
      </c>
      <c r="AJ13" s="8">
        <v>-38.6</v>
      </c>
      <c r="AK13" s="8">
        <v>-11.397</v>
      </c>
      <c r="AL13" s="8">
        <v>-63.443000000000005</v>
      </c>
      <c r="AM13" s="8">
        <v>1055.52</v>
      </c>
      <c r="AN13" s="8">
        <v>-39.193045999999995</v>
      </c>
      <c r="AO13" s="8">
        <v>-41.212999999999994</v>
      </c>
      <c r="AP13" s="8">
        <v>-44.241773000000009</v>
      </c>
      <c r="AQ13" s="8">
        <v>-67.040999999999997</v>
      </c>
      <c r="AR13" s="8">
        <v>-135.42178799999999</v>
      </c>
      <c r="AS13" s="8">
        <v>-97.907087000000004</v>
      </c>
      <c r="AT13" s="8">
        <v>-29.27718269</v>
      </c>
      <c r="AU13" s="8">
        <v>-102.51573031</v>
      </c>
      <c r="AV13" s="8">
        <v>-137.5</v>
      </c>
      <c r="AW13" s="8">
        <v>-44.9</v>
      </c>
      <c r="AX13" s="8">
        <v>-39.027000000000001</v>
      </c>
      <c r="AY13" s="8">
        <v>-78.525000000000006</v>
      </c>
      <c r="AZ13" s="8">
        <v>-429.9</v>
      </c>
      <c r="BA13" s="8">
        <v>-54.829000000000001</v>
      </c>
      <c r="BB13" s="8">
        <v>-97.58489999999999</v>
      </c>
      <c r="BC13" s="146"/>
      <c r="BD13" s="146"/>
      <c r="BE13" s="141"/>
      <c r="BF13" s="141"/>
      <c r="BG13" s="141"/>
      <c r="BH13" s="141"/>
      <c r="BI13" s="141"/>
      <c r="BJ13" s="141"/>
      <c r="BK13" s="141"/>
      <c r="BL13" s="141"/>
      <c r="BM13" s="141"/>
      <c r="BN13" s="141"/>
      <c r="BO13" s="141"/>
      <c r="BP13" s="141"/>
      <c r="BQ13" s="142"/>
    </row>
    <row r="14" spans="1:69">
      <c r="A14" s="1">
        <v>9</v>
      </c>
      <c r="B14" s="19" t="s">
        <v>252</v>
      </c>
      <c r="C14" s="143">
        <f>HLOOKUP($C$6,$H$6:$BO$18,$G14,FALSE)</f>
        <v>-88.807999999999993</v>
      </c>
      <c r="D14" s="143">
        <f>HLOOKUP($D$6,$H$6:$BO$18,$G14,FALSE)</f>
        <v>-6.176446890000264</v>
      </c>
      <c r="E14" s="50">
        <f t="shared" si="1"/>
        <v>-0.93045168351949981</v>
      </c>
      <c r="G14" s="53">
        <f t="shared" si="0"/>
        <v>9</v>
      </c>
      <c r="H14" s="19" t="s">
        <v>252</v>
      </c>
      <c r="I14" s="143">
        <v>-48</v>
      </c>
      <c r="J14" s="143">
        <v>130.9</v>
      </c>
      <c r="K14" s="143">
        <v>559.4</v>
      </c>
      <c r="L14" s="143">
        <v>-51.099999999999987</v>
      </c>
      <c r="M14" s="143">
        <v>-16.399999999999995</v>
      </c>
      <c r="N14" s="143">
        <v>96.135000000000005</v>
      </c>
      <c r="O14" s="143">
        <v>183.25</v>
      </c>
      <c r="P14" s="143">
        <v>-8.2833710000000167</v>
      </c>
      <c r="Q14" s="143">
        <v>-2.4379144000000226</v>
      </c>
      <c r="R14" s="143">
        <v>-217.23088559999997</v>
      </c>
      <c r="S14" s="143">
        <v>-250.978229</v>
      </c>
      <c r="T14" s="143">
        <v>69.550125370000018</v>
      </c>
      <c r="U14" s="143">
        <v>-20.726000000000013</v>
      </c>
      <c r="V14" s="143">
        <v>17.821999999999953</v>
      </c>
      <c r="W14" s="143">
        <v>86.719000000000051</v>
      </c>
      <c r="X14" s="143">
        <v>16.327094549999909</v>
      </c>
      <c r="Y14" s="143">
        <v>79.796999999999997</v>
      </c>
      <c r="Z14" s="143">
        <v>-181.13899999999998</v>
      </c>
      <c r="AA14" s="143">
        <v>97.842000000000041</v>
      </c>
      <c r="AB14" s="143">
        <v>31.286000000000023</v>
      </c>
      <c r="AC14" s="143">
        <v>35.599999999999987</v>
      </c>
      <c r="AD14" s="143">
        <v>-149.30000000000001</v>
      </c>
      <c r="AE14" s="143">
        <v>122.17200000000001</v>
      </c>
      <c r="AF14" s="143">
        <v>8.1279999999999681</v>
      </c>
      <c r="AG14" s="143">
        <v>179.5</v>
      </c>
      <c r="AH14" s="143">
        <v>-135.19999999999999</v>
      </c>
      <c r="AI14" s="143">
        <v>120.99999999999997</v>
      </c>
      <c r="AJ14" s="143">
        <v>-12.699999999999996</v>
      </c>
      <c r="AK14" s="143">
        <v>71.363970000000009</v>
      </c>
      <c r="AL14" s="143">
        <v>-251.11711</v>
      </c>
      <c r="AM14" s="143">
        <v>1116.9169999999999</v>
      </c>
      <c r="AN14" s="143">
        <v>-471.16420032000036</v>
      </c>
      <c r="AO14" s="143">
        <v>-218.27397992000004</v>
      </c>
      <c r="AP14" s="143">
        <v>-214.04684585000012</v>
      </c>
      <c r="AQ14" s="143">
        <v>206.87290145000009</v>
      </c>
      <c r="AR14" s="143">
        <v>-82.175158930000094</v>
      </c>
      <c r="AS14" s="143">
        <v>-80.198563610183712</v>
      </c>
      <c r="AT14" s="143">
        <v>-104.14597592657979</v>
      </c>
      <c r="AU14" s="143">
        <v>219.04453953676403</v>
      </c>
      <c r="AV14" s="143">
        <v>-153.35</v>
      </c>
      <c r="AW14" s="143">
        <v>-13.099999999999998</v>
      </c>
      <c r="AX14" s="143">
        <v>-88.807999999999993</v>
      </c>
      <c r="AY14" s="143">
        <v>25.692204644416009</v>
      </c>
      <c r="AZ14" s="143">
        <v>-162.43799999999999</v>
      </c>
      <c r="BA14" s="143">
        <v>-5.5500000000000043</v>
      </c>
      <c r="BB14" s="143">
        <v>-6.176446890000264</v>
      </c>
      <c r="BC14" s="146"/>
      <c r="BD14" s="146"/>
      <c r="BG14" s="138"/>
    </row>
    <row r="15" spans="1:69" ht="8.25" customHeight="1">
      <c r="A15" s="1">
        <v>10</v>
      </c>
      <c r="G15" s="53">
        <f t="shared" si="0"/>
        <v>10</v>
      </c>
      <c r="I15" s="140"/>
      <c r="J15" s="140"/>
      <c r="K15" s="140"/>
      <c r="L15" s="140"/>
      <c r="M15" s="140"/>
      <c r="N15" s="140"/>
      <c r="O15" s="140"/>
      <c r="P15" s="140"/>
      <c r="BC15" s="146"/>
      <c r="BD15" s="146"/>
      <c r="BG15" s="138"/>
    </row>
    <row r="16" spans="1:69">
      <c r="A16" s="1">
        <v>11</v>
      </c>
      <c r="B16" s="5" t="s">
        <v>253</v>
      </c>
      <c r="C16" s="8">
        <f>HLOOKUP($C$6,$H$6:$BO$18,$G16,FALSE)</f>
        <v>0.17399999999999999</v>
      </c>
      <c r="D16" s="8">
        <f>HLOOKUP($D$6,$H$6:$BO$18,$G16,FALSE)</f>
        <v>2.3043089099998086</v>
      </c>
      <c r="E16" s="44" t="s">
        <v>148</v>
      </c>
      <c r="G16" s="53">
        <f t="shared" si="0"/>
        <v>11</v>
      </c>
      <c r="H16" s="5" t="s">
        <v>253</v>
      </c>
      <c r="I16" s="8">
        <v>-4</v>
      </c>
      <c r="J16" s="8">
        <v>-1.8</v>
      </c>
      <c r="K16" s="8">
        <v>-18.600000000000001</v>
      </c>
      <c r="L16" s="8">
        <v>5.6</v>
      </c>
      <c r="M16" s="8">
        <v>0.3</v>
      </c>
      <c r="N16" s="8">
        <v>-0.34399999999999997</v>
      </c>
      <c r="O16" s="8">
        <v>-5.1320000000000006</v>
      </c>
      <c r="P16" s="8">
        <v>-1.5</v>
      </c>
      <c r="Q16" s="17">
        <v>6.6130000000000004</v>
      </c>
      <c r="R16" s="17">
        <v>2.4139999999999988</v>
      </c>
      <c r="S16" s="17">
        <v>0.44600000000000151</v>
      </c>
      <c r="T16" s="17">
        <v>-2.0370000000000008</v>
      </c>
      <c r="U16" s="17">
        <v>0.96800000000000008</v>
      </c>
      <c r="V16" s="8">
        <v>-0.37600000000000011</v>
      </c>
      <c r="W16" s="8">
        <v>3.2140000000000004</v>
      </c>
      <c r="X16" s="8">
        <v>8.4310000000000009</v>
      </c>
      <c r="Y16" s="8">
        <v>3.0279999999999996</v>
      </c>
      <c r="Z16" s="8">
        <v>-15.776</v>
      </c>
      <c r="AA16" s="8">
        <v>-2.8520000000000016</v>
      </c>
      <c r="AB16" s="8">
        <v>-5.1214999999999993</v>
      </c>
      <c r="AC16" s="8">
        <v>2.7</v>
      </c>
      <c r="AD16" s="8">
        <v>-3.6</v>
      </c>
      <c r="AE16" s="8">
        <v>-5.1660000000000004</v>
      </c>
      <c r="AF16" s="8">
        <v>-1.4340000000000006</v>
      </c>
      <c r="AG16" s="8">
        <v>-2.1</v>
      </c>
      <c r="AH16" s="8">
        <v>-2.6999999999999997</v>
      </c>
      <c r="AI16" s="8">
        <v>4.5</v>
      </c>
      <c r="AJ16" s="8">
        <v>10.5</v>
      </c>
      <c r="AK16" s="8">
        <v>-1.7330000000000001</v>
      </c>
      <c r="AL16" s="8">
        <v>2.0540000000000003</v>
      </c>
      <c r="AM16" s="8">
        <v>-9.2520000000000007</v>
      </c>
      <c r="AN16" s="8">
        <v>-2.0174240000000001</v>
      </c>
      <c r="AO16" s="8">
        <v>2.1163280000000002</v>
      </c>
      <c r="AP16" s="8">
        <v>-10.414251</v>
      </c>
      <c r="AQ16" s="8">
        <v>-6.845170230000349</v>
      </c>
      <c r="AR16" s="8">
        <v>-1.0348527699996519</v>
      </c>
      <c r="AS16" s="8">
        <v>-1.9263479999999999</v>
      </c>
      <c r="AT16" s="8">
        <v>1.2109999999999999</v>
      </c>
      <c r="AU16" s="8">
        <v>-8.3656520000000008</v>
      </c>
      <c r="AV16" s="8">
        <v>8</v>
      </c>
      <c r="AW16" s="8">
        <v>-20.9</v>
      </c>
      <c r="AX16" s="8">
        <v>0.17399999999999999</v>
      </c>
      <c r="AY16" s="8">
        <v>17.46</v>
      </c>
      <c r="AZ16" s="8">
        <v>-14.838000000000001</v>
      </c>
      <c r="BA16" s="8">
        <v>4.516</v>
      </c>
      <c r="BB16" s="8">
        <v>2.3043089099998086</v>
      </c>
      <c r="BC16" s="146"/>
      <c r="BD16" s="146"/>
      <c r="BE16" s="141"/>
      <c r="BF16" s="141"/>
      <c r="BG16" s="138"/>
    </row>
    <row r="17" spans="1:59" ht="8.25" customHeight="1">
      <c r="A17" s="1">
        <v>12</v>
      </c>
      <c r="G17" s="53">
        <f t="shared" si="0"/>
        <v>12</v>
      </c>
      <c r="I17" s="140"/>
      <c r="J17" s="140"/>
      <c r="K17" s="140"/>
      <c r="L17" s="140"/>
      <c r="M17" s="140"/>
      <c r="N17" s="140"/>
      <c r="O17" s="140"/>
      <c r="P17" s="140"/>
      <c r="BC17" s="146"/>
      <c r="BD17" s="146"/>
      <c r="BE17" s="141"/>
      <c r="BF17" s="141"/>
      <c r="BG17" s="138"/>
    </row>
    <row r="18" spans="1:59">
      <c r="A18" s="1">
        <v>13</v>
      </c>
      <c r="B18" s="6" t="s">
        <v>254</v>
      </c>
      <c r="C18" s="9">
        <f>HLOOKUP($C$6,$H$6:$BO$18,$G18,FALSE)</f>
        <v>824.88994420999995</v>
      </c>
      <c r="D18" s="9">
        <f>HLOOKUP($D$6,$H$6:$BO$18,$G18,FALSE)</f>
        <v>688.70950153661124</v>
      </c>
      <c r="E18" s="63">
        <f>D18/C18-1</f>
        <v>-0.16508922630134526</v>
      </c>
      <c r="G18" s="53">
        <f t="shared" si="0"/>
        <v>13</v>
      </c>
      <c r="H18" s="6" t="s">
        <v>254</v>
      </c>
      <c r="I18" s="9">
        <v>208.29999999999998</v>
      </c>
      <c r="J18" s="9">
        <v>337.4</v>
      </c>
      <c r="K18" s="9">
        <v>878.3</v>
      </c>
      <c r="L18" s="9">
        <v>832.8</v>
      </c>
      <c r="M18" s="9">
        <v>816.69999999999993</v>
      </c>
      <c r="N18" s="9">
        <v>912.49099999999987</v>
      </c>
      <c r="O18" s="9">
        <v>1090.6089999999999</v>
      </c>
      <c r="P18" s="9">
        <v>1080.8256289999999</v>
      </c>
      <c r="Q18" s="9">
        <v>1042.8013145999998</v>
      </c>
      <c r="R18" s="9">
        <v>827.98442899999998</v>
      </c>
      <c r="S18" s="9">
        <v>577.45219999999995</v>
      </c>
      <c r="T18" s="9">
        <v>644.96532536999996</v>
      </c>
      <c r="U18" s="9">
        <v>625.20732536999992</v>
      </c>
      <c r="V18" s="9">
        <v>642.65332536999983</v>
      </c>
      <c r="W18" s="9">
        <v>732.58632536999994</v>
      </c>
      <c r="X18" s="9">
        <v>757.34441991999984</v>
      </c>
      <c r="Y18" s="9">
        <v>840.16941991999988</v>
      </c>
      <c r="Z18" s="9">
        <v>643.25441991999992</v>
      </c>
      <c r="AA18" s="9">
        <v>738.24441991999993</v>
      </c>
      <c r="AB18" s="9">
        <v>764.4089199199999</v>
      </c>
      <c r="AC18" s="9">
        <v>802.70891991999986</v>
      </c>
      <c r="AD18" s="9">
        <v>649.80891991999988</v>
      </c>
      <c r="AE18" s="9">
        <v>766.85041992000004</v>
      </c>
      <c r="AF18" s="9">
        <v>773.54441991999988</v>
      </c>
      <c r="AG18" s="9">
        <v>951.04969842999992</v>
      </c>
      <c r="AH18" s="9">
        <v>813.14969842999994</v>
      </c>
      <c r="AI18" s="9">
        <v>938.64969842999994</v>
      </c>
      <c r="AJ18" s="9">
        <v>936.4496984299999</v>
      </c>
      <c r="AK18" s="9">
        <v>1006.1283000000001</v>
      </c>
      <c r="AL18" s="9">
        <v>757.01755843000001</v>
      </c>
      <c r="AM18" s="9">
        <v>1864.68255843</v>
      </c>
      <c r="AN18" s="9">
        <v>1391.5009341099997</v>
      </c>
      <c r="AO18" s="9">
        <v>1175.0958348099998</v>
      </c>
      <c r="AP18" s="9">
        <v>950.63473795999971</v>
      </c>
      <c r="AQ18" s="9">
        <v>1150.6624691799993</v>
      </c>
      <c r="AR18" s="9">
        <v>1067.4524574799998</v>
      </c>
      <c r="AS18" s="9">
        <v>985.32754586981616</v>
      </c>
      <c r="AT18" s="9">
        <v>882.39256994323637</v>
      </c>
      <c r="AU18" s="9">
        <v>1092.87394421</v>
      </c>
      <c r="AV18" s="9">
        <v>947.52394420999997</v>
      </c>
      <c r="AW18" s="9">
        <v>913.52394420999997</v>
      </c>
      <c r="AX18" s="9">
        <v>824.88994420999995</v>
      </c>
      <c r="AY18" s="9">
        <v>868.04214885441604</v>
      </c>
      <c r="AZ18" s="9">
        <v>690.76614885441609</v>
      </c>
      <c r="BA18" s="9">
        <v>692.58163951661174</v>
      </c>
      <c r="BB18" s="9">
        <v>688.70950153661124</v>
      </c>
      <c r="BC18" s="146"/>
      <c r="BD18" s="146"/>
      <c r="BE18" s="141"/>
      <c r="BF18" s="141"/>
      <c r="BG18" s="138"/>
    </row>
    <row r="19" spans="1:59">
      <c r="AK19" s="48"/>
      <c r="AZ19" s="128"/>
      <c r="BD19" s="141"/>
      <c r="BE19" s="141"/>
      <c r="BF19" s="141"/>
    </row>
    <row r="23" spans="1:59" ht="23.25">
      <c r="B23" s="11" t="s">
        <v>29</v>
      </c>
      <c r="C23" s="12"/>
      <c r="D23" s="12"/>
      <c r="E23" s="12"/>
      <c r="H23" s="11" t="s">
        <v>29</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row>
    <row r="25" spans="1:59">
      <c r="A25" s="1">
        <v>1</v>
      </c>
      <c r="B25" s="3" t="s">
        <v>244</v>
      </c>
      <c r="C25" s="134" t="str">
        <f>C6</f>
        <v>2Q24</v>
      </c>
      <c r="D25" s="134" t="str">
        <f>D6</f>
        <v>2Q25</v>
      </c>
      <c r="E25" s="134" t="s">
        <v>100</v>
      </c>
      <c r="G25" s="53">
        <v>1</v>
      </c>
      <c r="H25" s="3" t="s">
        <v>244</v>
      </c>
      <c r="I25" s="134" t="s">
        <v>101</v>
      </c>
      <c r="J25" s="134" t="s">
        <v>102</v>
      </c>
      <c r="K25" s="134" t="s">
        <v>103</v>
      </c>
      <c r="L25" s="134" t="s">
        <v>104</v>
      </c>
      <c r="M25" s="134" t="s">
        <v>105</v>
      </c>
      <c r="N25" s="134" t="s">
        <v>106</v>
      </c>
      <c r="O25" s="134" t="s">
        <v>107</v>
      </c>
      <c r="P25" s="134" t="s">
        <v>108</v>
      </c>
      <c r="Q25" s="134" t="s">
        <v>109</v>
      </c>
      <c r="R25" s="134" t="s">
        <v>110</v>
      </c>
      <c r="S25" s="134" t="s">
        <v>111</v>
      </c>
      <c r="T25" s="134" t="s">
        <v>112</v>
      </c>
      <c r="U25" s="134" t="s">
        <v>113</v>
      </c>
      <c r="V25" s="134" t="s">
        <v>114</v>
      </c>
      <c r="W25" s="134" t="s">
        <v>115</v>
      </c>
      <c r="X25" s="134" t="s">
        <v>116</v>
      </c>
      <c r="Y25" s="134" t="s">
        <v>117</v>
      </c>
      <c r="Z25" s="134" t="s">
        <v>118</v>
      </c>
      <c r="AA25" s="134" t="s">
        <v>119</v>
      </c>
      <c r="AB25" s="134" t="s">
        <v>120</v>
      </c>
      <c r="AC25" s="134" t="s">
        <v>121</v>
      </c>
      <c r="AD25" s="134" t="s">
        <v>122</v>
      </c>
      <c r="AE25" s="134" t="s">
        <v>123</v>
      </c>
      <c r="AF25" s="134" t="s">
        <v>124</v>
      </c>
      <c r="AG25" s="134" t="s">
        <v>125</v>
      </c>
      <c r="AH25" s="134" t="s">
        <v>126</v>
      </c>
      <c r="AI25" s="134" t="s">
        <v>127</v>
      </c>
      <c r="AJ25" s="134" t="s">
        <v>128</v>
      </c>
      <c r="AK25" s="134" t="s">
        <v>129</v>
      </c>
      <c r="AL25" s="134" t="s">
        <v>130</v>
      </c>
      <c r="AM25" s="134" t="s">
        <v>131</v>
      </c>
      <c r="AN25" s="134" t="s">
        <v>132</v>
      </c>
      <c r="AO25" s="134" t="s">
        <v>133</v>
      </c>
      <c r="AP25" s="134" t="s">
        <v>134</v>
      </c>
      <c r="AQ25" s="134" t="s">
        <v>135</v>
      </c>
      <c r="AR25" s="134" t="s">
        <v>136</v>
      </c>
      <c r="AS25" s="134" t="s">
        <v>137</v>
      </c>
      <c r="AT25" s="134" t="s">
        <v>138</v>
      </c>
      <c r="AU25" s="134" t="s">
        <v>139</v>
      </c>
      <c r="AV25" s="134" t="s">
        <v>98</v>
      </c>
      <c r="AW25" s="134" t="s">
        <v>140</v>
      </c>
      <c r="AX25" s="134" t="s">
        <v>141</v>
      </c>
      <c r="AY25" s="134" t="s">
        <v>142</v>
      </c>
      <c r="AZ25" s="134" t="s">
        <v>99</v>
      </c>
      <c r="BA25" s="134" t="s">
        <v>236</v>
      </c>
      <c r="BB25" s="134" t="s">
        <v>237</v>
      </c>
    </row>
    <row r="26" spans="1:59">
      <c r="A26" s="1">
        <v>2</v>
      </c>
      <c r="B26" s="3" t="s">
        <v>166</v>
      </c>
      <c r="C26" s="134"/>
      <c r="D26" s="134"/>
      <c r="E26" s="134"/>
      <c r="G26" s="53">
        <f>G25+1</f>
        <v>2</v>
      </c>
      <c r="H26" s="3" t="s">
        <v>166</v>
      </c>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row>
    <row r="27" spans="1:59">
      <c r="A27" s="1">
        <v>3</v>
      </c>
      <c r="G27" s="53">
        <f t="shared" ref="G27:G37" si="2">G26+1</f>
        <v>3</v>
      </c>
    </row>
    <row r="28" spans="1:59">
      <c r="A28" s="1">
        <v>4</v>
      </c>
      <c r="B28" s="6" t="s">
        <v>245</v>
      </c>
      <c r="C28" s="9">
        <f>HLOOKUP($C$25,$H$25:$BO$37,$G28,FALSE)</f>
        <v>76.626437590000165</v>
      </c>
      <c r="D28" s="9">
        <f>HLOOKUP($D$25,$H$25:$BO$37,$G28,FALSE)</f>
        <v>75.831437590000178</v>
      </c>
      <c r="E28" s="34">
        <f>D28/C28-1</f>
        <v>-1.0375009265780277E-2</v>
      </c>
      <c r="G28" s="53">
        <f t="shared" si="2"/>
        <v>4</v>
      </c>
      <c r="H28" s="6" t="s">
        <v>246</v>
      </c>
      <c r="I28" s="18"/>
      <c r="J28" s="18"/>
      <c r="K28" s="18"/>
      <c r="L28" s="18"/>
      <c r="M28" s="18"/>
      <c r="N28" s="18"/>
      <c r="O28" s="18"/>
      <c r="P28" s="18"/>
      <c r="Q28" s="9">
        <v>42.199399999999997</v>
      </c>
      <c r="R28" s="9">
        <v>39.150300000000001</v>
      </c>
      <c r="S28" s="9">
        <v>40.120200000000004</v>
      </c>
      <c r="T28" s="9">
        <v>42.754200000000004</v>
      </c>
      <c r="U28" s="9">
        <v>22.031700000000008</v>
      </c>
      <c r="V28" s="9">
        <v>38.978700000000003</v>
      </c>
      <c r="W28" s="9">
        <v>37.817700000000002</v>
      </c>
      <c r="X28" s="9">
        <v>43.233699999999999</v>
      </c>
      <c r="Y28" s="9">
        <v>52.870699999999999</v>
      </c>
      <c r="Z28" s="9">
        <v>40.570700000000002</v>
      </c>
      <c r="AA28" s="9">
        <v>52.370699999999999</v>
      </c>
      <c r="AB28" s="9">
        <v>46.370699999999999</v>
      </c>
      <c r="AC28" s="9">
        <v>23.670700000000004</v>
      </c>
      <c r="AD28" s="9">
        <v>12.970700000000004</v>
      </c>
      <c r="AE28" s="9">
        <v>17.470700000000004</v>
      </c>
      <c r="AF28" s="9">
        <v>13.370700000000005</v>
      </c>
      <c r="AG28" s="9">
        <v>23.770700000000005</v>
      </c>
      <c r="AH28" s="9">
        <v>28.670700000000004</v>
      </c>
      <c r="AI28" s="9">
        <v>40.970700000000001</v>
      </c>
      <c r="AJ28" s="9">
        <v>27.37070000000001</v>
      </c>
      <c r="AK28" s="9">
        <v>30.970700000000008</v>
      </c>
      <c r="AL28" s="9">
        <v>21.771700000000006</v>
      </c>
      <c r="AM28" s="9">
        <v>33.070700000000002</v>
      </c>
      <c r="AN28" s="9">
        <v>21.305700000000009</v>
      </c>
      <c r="AO28" s="9">
        <v>27.9</v>
      </c>
      <c r="AP28" s="9">
        <v>23.4</v>
      </c>
      <c r="AQ28" s="9">
        <v>39.199999999999989</v>
      </c>
      <c r="AR28" s="9">
        <v>25.24753082000052</v>
      </c>
      <c r="AS28" s="9">
        <v>87.204437590000168</v>
      </c>
      <c r="AT28" s="9">
        <v>76.74943759000017</v>
      </c>
      <c r="AU28" s="9">
        <v>67.538437590000171</v>
      </c>
      <c r="AV28" s="9">
        <v>77.826437590000168</v>
      </c>
      <c r="AW28" s="9">
        <v>83.526437590000171</v>
      </c>
      <c r="AX28" s="9">
        <v>76.626437590000165</v>
      </c>
      <c r="AY28" s="9">
        <v>81.221437590000164</v>
      </c>
      <c r="AZ28" s="9">
        <v>79.022437590000166</v>
      </c>
      <c r="BA28" s="9">
        <v>81.560437590000177</v>
      </c>
      <c r="BB28" s="9">
        <v>75.831437590000178</v>
      </c>
    </row>
    <row r="29" spans="1:59" ht="8.25" customHeight="1">
      <c r="A29" s="1">
        <v>5</v>
      </c>
      <c r="G29" s="53">
        <f t="shared" si="2"/>
        <v>5</v>
      </c>
      <c r="I29" s="140"/>
      <c r="J29" s="140"/>
      <c r="K29" s="140"/>
      <c r="L29" s="140"/>
      <c r="M29" s="140"/>
      <c r="N29" s="140"/>
      <c r="O29" s="140"/>
      <c r="P29" s="140"/>
    </row>
    <row r="30" spans="1:59">
      <c r="A30" s="1">
        <v>6</v>
      </c>
      <c r="B30" s="5" t="s">
        <v>247</v>
      </c>
      <c r="C30" s="8">
        <f>HLOOKUP($C$25,$H$25:$BO$37,$G30,FALSE)</f>
        <v>36.261000000000003</v>
      </c>
      <c r="D30" s="8">
        <f>HLOOKUP($D$25,$H$25:$BO$37,$G30,FALSE)</f>
        <v>30.653000000000013</v>
      </c>
      <c r="E30" s="33">
        <f t="shared" ref="E30:E32" si="3">+D30/C30-1</f>
        <v>-0.15465651802211711</v>
      </c>
      <c r="G30" s="53">
        <f t="shared" si="2"/>
        <v>6</v>
      </c>
      <c r="H30" s="5" t="s">
        <v>247</v>
      </c>
      <c r="I30" s="17"/>
      <c r="J30" s="17"/>
      <c r="K30" s="17"/>
      <c r="L30" s="17"/>
      <c r="M30" s="17"/>
      <c r="N30" s="17"/>
      <c r="O30" s="17"/>
      <c r="P30" s="17"/>
      <c r="Q30" s="8">
        <v>5.9664000000000001</v>
      </c>
      <c r="R30" s="8">
        <v>2.9929000000000006</v>
      </c>
      <c r="S30" s="8">
        <v>8.0600999999999985</v>
      </c>
      <c r="T30" s="8">
        <v>-1.1653000000000002</v>
      </c>
      <c r="U30" s="8">
        <v>24.838000000000001</v>
      </c>
      <c r="V30" s="8">
        <v>5.1729999999999983</v>
      </c>
      <c r="W30" s="8">
        <v>25.257000000000001</v>
      </c>
      <c r="X30" s="8">
        <v>21.855999999999995</v>
      </c>
      <c r="Y30" s="8">
        <v>9.1999999999999993</v>
      </c>
      <c r="Z30" s="8">
        <v>15.1</v>
      </c>
      <c r="AA30" s="8">
        <v>7.6</v>
      </c>
      <c r="AB30" s="8">
        <v>1.6910000000000025</v>
      </c>
      <c r="AC30" s="8">
        <v>3.4</v>
      </c>
      <c r="AD30" s="8">
        <v>20.7</v>
      </c>
      <c r="AE30" s="8">
        <v>13.7</v>
      </c>
      <c r="AF30" s="8">
        <v>18</v>
      </c>
      <c r="AG30" s="8">
        <v>8.5</v>
      </c>
      <c r="AH30" s="8">
        <v>16.5</v>
      </c>
      <c r="AI30" s="8">
        <v>29</v>
      </c>
      <c r="AJ30" s="8">
        <v>9.5</v>
      </c>
      <c r="AK30" s="8">
        <v>15.1</v>
      </c>
      <c r="AL30" s="8">
        <v>17.199999999999996</v>
      </c>
      <c r="AM30" s="8">
        <v>20.379000000000005</v>
      </c>
      <c r="AN30" s="8">
        <v>12.820999999999998</v>
      </c>
      <c r="AO30" s="8">
        <v>20.3</v>
      </c>
      <c r="AP30" s="8">
        <v>22.699999999999992</v>
      </c>
      <c r="AQ30" s="8">
        <v>22.000000000000007</v>
      </c>
      <c r="AR30" s="8">
        <v>31.200000000000003</v>
      </c>
      <c r="AS30" s="8">
        <v>16.400000000000002</v>
      </c>
      <c r="AT30" s="8">
        <v>-0.29999999999999893</v>
      </c>
      <c r="AU30" s="8">
        <v>39</v>
      </c>
      <c r="AV30" s="8">
        <v>19</v>
      </c>
      <c r="AW30" s="8">
        <v>17.499999999999996</v>
      </c>
      <c r="AX30" s="8">
        <v>36.261000000000003</v>
      </c>
      <c r="AY30" s="8">
        <v>21.557000000000002</v>
      </c>
      <c r="AZ30" s="8">
        <v>12.312000000000003</v>
      </c>
      <c r="BA30" s="8">
        <v>13.638999999999994</v>
      </c>
      <c r="BB30" s="8">
        <v>30.653000000000013</v>
      </c>
    </row>
    <row r="31" spans="1:59">
      <c r="A31" s="1">
        <v>7</v>
      </c>
      <c r="B31" s="5" t="s">
        <v>255</v>
      </c>
      <c r="C31" s="8">
        <f>HLOOKUP($C$25,$H$25:$BO$37,$G31,FALSE)</f>
        <v>-26.949000000000002</v>
      </c>
      <c r="D31" s="8">
        <f>HLOOKUP($D$25,$H$25:$BO$37,$G31,FALSE)</f>
        <v>-4.5070000000000014</v>
      </c>
      <c r="E31" s="33">
        <f t="shared" si="3"/>
        <v>-0.83275817284500353</v>
      </c>
      <c r="G31" s="53">
        <f t="shared" si="2"/>
        <v>7</v>
      </c>
      <c r="H31" s="5" t="s">
        <v>249</v>
      </c>
      <c r="I31" s="17"/>
      <c r="J31" s="17"/>
      <c r="K31" s="17"/>
      <c r="L31" s="17"/>
      <c r="M31" s="17"/>
      <c r="N31" s="17"/>
      <c r="O31" s="17"/>
      <c r="P31" s="17"/>
      <c r="Q31" s="8">
        <v>-8.8450999999999986</v>
      </c>
      <c r="R31" s="8">
        <v>-0.5151</v>
      </c>
      <c r="S31" s="8">
        <v>-4.3264999999999993</v>
      </c>
      <c r="T31" s="8">
        <v>-18.684299999999997</v>
      </c>
      <c r="U31" s="8">
        <v>-4.7039999999999997</v>
      </c>
      <c r="V31" s="8">
        <v>-3.0090000000000003</v>
      </c>
      <c r="W31" s="8">
        <v>-17.099</v>
      </c>
      <c r="X31" s="8">
        <v>-9.5029999999999966</v>
      </c>
      <c r="Y31" s="8">
        <v>-18</v>
      </c>
      <c r="Z31" s="8">
        <v>-0.7</v>
      </c>
      <c r="AA31" s="8">
        <v>-13</v>
      </c>
      <c r="AB31" s="8">
        <v>26.256</v>
      </c>
      <c r="AC31" s="8">
        <v>-13.9</v>
      </c>
      <c r="AD31" s="8">
        <v>-6.7</v>
      </c>
      <c r="AE31" s="8">
        <v>-17.399999999999999</v>
      </c>
      <c r="AF31" s="8">
        <v>-4.3</v>
      </c>
      <c r="AG31" s="8">
        <v>1.1000000000000001</v>
      </c>
      <c r="AH31" s="8">
        <v>0.6</v>
      </c>
      <c r="AI31" s="8">
        <v>-21.4</v>
      </c>
      <c r="AJ31" s="8">
        <v>-5.7</v>
      </c>
      <c r="AK31" s="8">
        <v>-23.45</v>
      </c>
      <c r="AL31" s="8">
        <v>-4.8500000000000014</v>
      </c>
      <c r="AM31" s="8">
        <v>-22.776</v>
      </c>
      <c r="AN31" s="8">
        <v>-4.6240000000000023</v>
      </c>
      <c r="AO31" s="8">
        <v>-24</v>
      </c>
      <c r="AP31" s="8">
        <v>-5</v>
      </c>
      <c r="AQ31" s="8">
        <v>-23.8</v>
      </c>
      <c r="AR31" s="8">
        <v>-4.6000000000000014</v>
      </c>
      <c r="AS31" s="8">
        <v>-3</v>
      </c>
      <c r="AT31" s="8">
        <v>-4.3000000000000007</v>
      </c>
      <c r="AU31" s="8">
        <v>-23.7</v>
      </c>
      <c r="AV31" s="8">
        <v>-4.8</v>
      </c>
      <c r="AW31" s="8">
        <v>-22.2</v>
      </c>
      <c r="AX31" s="8">
        <v>-26.949000000000002</v>
      </c>
      <c r="AY31" s="8">
        <v>-21.556000000000001</v>
      </c>
      <c r="AZ31" s="8">
        <v>-6.6740000000000004</v>
      </c>
      <c r="BA31" s="8">
        <v>-17.581</v>
      </c>
      <c r="BB31" s="8">
        <v>-4.5070000000000014</v>
      </c>
    </row>
    <row r="32" spans="1:59">
      <c r="A32" s="1">
        <v>8</v>
      </c>
      <c r="B32" s="5" t="s">
        <v>251</v>
      </c>
      <c r="C32" s="8">
        <f>HLOOKUP($C$25,$H$25:$BO$37,$G32,FALSE)</f>
        <v>-4.2729999999999997</v>
      </c>
      <c r="D32" s="8">
        <f>HLOOKUP($D$25,$H$25:$BO$37,$G32,FALSE)</f>
        <v>-3.3960000000000004</v>
      </c>
      <c r="E32" s="33">
        <f t="shared" si="3"/>
        <v>-0.20524221858179248</v>
      </c>
      <c r="G32" s="53">
        <f t="shared" si="2"/>
        <v>8</v>
      </c>
      <c r="H32" s="5" t="s">
        <v>251</v>
      </c>
      <c r="I32" s="17"/>
      <c r="J32" s="17"/>
      <c r="K32" s="17"/>
      <c r="L32" s="17"/>
      <c r="M32" s="17"/>
      <c r="N32" s="17"/>
      <c r="O32" s="17"/>
      <c r="P32" s="17"/>
      <c r="Q32" s="8">
        <v>-0.1704</v>
      </c>
      <c r="R32" s="8">
        <v>-1.5079</v>
      </c>
      <c r="S32" s="8">
        <v>-1.0996000000000001</v>
      </c>
      <c r="T32" s="8">
        <v>-0.87290000000000001</v>
      </c>
      <c r="U32" s="8">
        <v>-3.5649999999999999</v>
      </c>
      <c r="V32" s="8">
        <v>-3.3409999999999997</v>
      </c>
      <c r="W32" s="8">
        <v>-1.5170000000000003</v>
      </c>
      <c r="X32" s="8">
        <v>-1.0719999999999992</v>
      </c>
      <c r="Y32" s="8">
        <v>-2.1</v>
      </c>
      <c r="Z32" s="8">
        <v>-1.9</v>
      </c>
      <c r="AA32" s="8">
        <v>-0.5</v>
      </c>
      <c r="AB32" s="8">
        <v>-50.133000000000003</v>
      </c>
      <c r="AC32" s="8">
        <v>-0.5</v>
      </c>
      <c r="AD32" s="8">
        <v>-9.6999999999999993</v>
      </c>
      <c r="AE32" s="8">
        <v>-0.1</v>
      </c>
      <c r="AF32" s="8">
        <v>-3.8</v>
      </c>
      <c r="AG32" s="8">
        <v>-4.0999999999999996</v>
      </c>
      <c r="AH32" s="8">
        <v>-4.5999999999999996</v>
      </c>
      <c r="AI32" s="8">
        <v>-20.9</v>
      </c>
      <c r="AJ32" s="8">
        <v>-0.1</v>
      </c>
      <c r="AK32" s="8">
        <v>-0.503</v>
      </c>
      <c r="AL32" s="8">
        <v>-1.097</v>
      </c>
      <c r="AM32" s="8">
        <v>-8.32</v>
      </c>
      <c r="AN32" s="8">
        <v>-2.3800000000000008</v>
      </c>
      <c r="AO32" s="8">
        <v>-2.2000000000000002</v>
      </c>
      <c r="AP32" s="8">
        <v>-1.6999999999999997</v>
      </c>
      <c r="AQ32" s="8">
        <v>-11.6</v>
      </c>
      <c r="AR32" s="8">
        <v>35.199999999999996</v>
      </c>
      <c r="AS32" s="8">
        <v>-24.2</v>
      </c>
      <c r="AT32" s="8">
        <v>-5.3000000000000007</v>
      </c>
      <c r="AU32" s="8">
        <v>-4.2</v>
      </c>
      <c r="AV32" s="8">
        <v>-8.4</v>
      </c>
      <c r="AW32" s="8">
        <v>-1.7000000000000002</v>
      </c>
      <c r="AX32" s="8">
        <v>-4.2729999999999997</v>
      </c>
      <c r="AY32" s="8">
        <v>-2.6</v>
      </c>
      <c r="AZ32" s="8">
        <v>-3</v>
      </c>
      <c r="BA32" s="8">
        <v>-2.1709999999999998</v>
      </c>
      <c r="BB32" s="8">
        <v>-3.3960000000000004</v>
      </c>
    </row>
    <row r="33" spans="1:54">
      <c r="A33" s="1">
        <v>9</v>
      </c>
      <c r="B33" s="19" t="s">
        <v>252</v>
      </c>
      <c r="C33" s="143">
        <f>HLOOKUP($C$25,$H$25:$BO$37,$G33,FALSE)</f>
        <v>5.0390000000000015</v>
      </c>
      <c r="D33" s="143">
        <f>HLOOKUP($D$25,$H$25:$BO$37,$G33,FALSE)</f>
        <v>22.750000000000011</v>
      </c>
      <c r="E33" s="50">
        <f>+D33/C33-1</f>
        <v>3.5147846794999014</v>
      </c>
      <c r="G33" s="53">
        <f t="shared" si="2"/>
        <v>9</v>
      </c>
      <c r="H33" s="19" t="s">
        <v>252</v>
      </c>
      <c r="I33" s="144"/>
      <c r="J33" s="144"/>
      <c r="K33" s="144"/>
      <c r="L33" s="144"/>
      <c r="M33" s="144"/>
      <c r="N33" s="144"/>
      <c r="O33" s="144"/>
      <c r="P33" s="144"/>
      <c r="Q33" s="143">
        <v>-3.0490999999999984</v>
      </c>
      <c r="R33" s="143">
        <v>0.96990000000000065</v>
      </c>
      <c r="S33" s="143">
        <v>2.633999999999999</v>
      </c>
      <c r="T33" s="143">
        <v>-20.722499999999997</v>
      </c>
      <c r="U33" s="143">
        <v>16.568999999999999</v>
      </c>
      <c r="V33" s="143">
        <v>-1.1770000000000018</v>
      </c>
      <c r="W33" s="143">
        <v>6.6410000000000009</v>
      </c>
      <c r="X33" s="143">
        <v>11.280999999999999</v>
      </c>
      <c r="Y33" s="143">
        <v>-10.9</v>
      </c>
      <c r="Z33" s="143">
        <v>12.5</v>
      </c>
      <c r="AA33" s="143">
        <v>-5.9</v>
      </c>
      <c r="AB33" s="143">
        <v>-22.186</v>
      </c>
      <c r="AC33" s="143">
        <v>-11</v>
      </c>
      <c r="AD33" s="143">
        <v>4.3000000000000007</v>
      </c>
      <c r="AE33" s="143">
        <v>-3.7999999999999994</v>
      </c>
      <c r="AF33" s="143">
        <v>9.8999999999999986</v>
      </c>
      <c r="AG33" s="143">
        <v>5.5</v>
      </c>
      <c r="AH33" s="143">
        <v>12.500000000000002</v>
      </c>
      <c r="AI33" s="143">
        <v>-13.299999999999997</v>
      </c>
      <c r="AJ33" s="143">
        <v>3.6999999999999997</v>
      </c>
      <c r="AK33" s="143">
        <v>-8.8529999999999998</v>
      </c>
      <c r="AL33" s="143">
        <v>11.252999999999995</v>
      </c>
      <c r="AM33" s="143">
        <v>-10.716999999999995</v>
      </c>
      <c r="AN33" s="143">
        <v>5.8169999999999948</v>
      </c>
      <c r="AO33" s="143">
        <v>-5.8999999999999995</v>
      </c>
      <c r="AP33" s="143">
        <v>15.999999999999993</v>
      </c>
      <c r="AQ33" s="143">
        <v>-13.399999999999993</v>
      </c>
      <c r="AR33" s="143">
        <v>61.8</v>
      </c>
      <c r="AS33" s="143">
        <v>-10.799999999999997</v>
      </c>
      <c r="AT33" s="143">
        <v>-9.9</v>
      </c>
      <c r="AU33" s="143">
        <v>11.100000000000001</v>
      </c>
      <c r="AV33" s="143">
        <v>5.7999999999999989</v>
      </c>
      <c r="AW33" s="143">
        <v>-6.400000000000003</v>
      </c>
      <c r="AX33" s="143">
        <v>5.0390000000000015</v>
      </c>
      <c r="AY33" s="143">
        <v>-2.5989999999999989</v>
      </c>
      <c r="AZ33" s="143">
        <v>2.6380000000000026</v>
      </c>
      <c r="BA33" s="143">
        <v>-6.1130000000000049</v>
      </c>
      <c r="BB33" s="143">
        <v>22.750000000000011</v>
      </c>
    </row>
    <row r="34" spans="1:54" ht="8.25" customHeight="1">
      <c r="A34" s="1">
        <v>10</v>
      </c>
      <c r="G34" s="53">
        <f t="shared" si="2"/>
        <v>10</v>
      </c>
      <c r="I34" s="140"/>
      <c r="J34" s="140"/>
      <c r="K34" s="140"/>
      <c r="L34" s="140"/>
      <c r="M34" s="140"/>
      <c r="N34" s="140"/>
      <c r="O34" s="140"/>
      <c r="P34" s="140"/>
    </row>
    <row r="35" spans="1:54">
      <c r="A35" s="1">
        <v>11</v>
      </c>
      <c r="B35" s="5" t="s">
        <v>253</v>
      </c>
      <c r="C35" s="8">
        <f>HLOOKUP($C$25,$H$25:$BO$37,$G35,FALSE)</f>
        <v>-0.44400000000000001</v>
      </c>
      <c r="D35" s="8">
        <f>HLOOKUP($D$25,$H$25:$BO$37,$G35,FALSE)</f>
        <v>0.33199999999999996</v>
      </c>
      <c r="E35" s="33">
        <f>+D35/C35-1</f>
        <v>-1.7477477477477477</v>
      </c>
      <c r="G35" s="53">
        <f t="shared" si="2"/>
        <v>11</v>
      </c>
      <c r="H35" s="5" t="s">
        <v>253</v>
      </c>
      <c r="I35" s="17"/>
      <c r="J35" s="17"/>
      <c r="K35" s="17"/>
      <c r="L35" s="17"/>
      <c r="M35" s="17"/>
      <c r="N35" s="17"/>
      <c r="O35" s="17"/>
      <c r="P35" s="17"/>
      <c r="Q35" s="17">
        <v>0</v>
      </c>
      <c r="R35" s="17">
        <v>0</v>
      </c>
      <c r="S35" s="17">
        <v>0</v>
      </c>
      <c r="T35" s="17">
        <v>0</v>
      </c>
      <c r="U35" s="17">
        <v>0.378</v>
      </c>
      <c r="V35" s="8">
        <v>1.6000000000000014E-2</v>
      </c>
      <c r="W35" s="8">
        <v>-1.2250000000000001</v>
      </c>
      <c r="X35" s="8">
        <v>-1.6440000000000001</v>
      </c>
      <c r="Y35" s="8">
        <v>-1.4</v>
      </c>
      <c r="Z35" s="8">
        <v>-0.7</v>
      </c>
      <c r="AA35" s="8">
        <v>-0.1</v>
      </c>
      <c r="AB35" s="8">
        <v>-0.47850000000000037</v>
      </c>
      <c r="AC35" s="8">
        <v>0.3</v>
      </c>
      <c r="AD35" s="8">
        <v>0.2</v>
      </c>
      <c r="AE35" s="8">
        <v>-0.3</v>
      </c>
      <c r="AF35" s="8">
        <v>0.5</v>
      </c>
      <c r="AG35" s="8">
        <v>-0.6</v>
      </c>
      <c r="AH35" s="8">
        <v>-0.2</v>
      </c>
      <c r="AI35" s="8">
        <v>-0.3</v>
      </c>
      <c r="AJ35" s="8">
        <v>-0.1</v>
      </c>
      <c r="AK35" s="8">
        <v>-0.34599999999999997</v>
      </c>
      <c r="AL35" s="8">
        <v>4.5999999999999985E-2</v>
      </c>
      <c r="AM35" s="8">
        <v>-1.048</v>
      </c>
      <c r="AN35" s="8">
        <v>0.59800000000000009</v>
      </c>
      <c r="AO35" s="8">
        <v>1.4</v>
      </c>
      <c r="AP35" s="8">
        <v>-0.19999999999999996</v>
      </c>
      <c r="AQ35" s="8">
        <v>-0.65690676999965092</v>
      </c>
      <c r="AR35" s="8">
        <v>0.15690676999965092</v>
      </c>
      <c r="AS35" s="8">
        <v>0.34500000000000003</v>
      </c>
      <c r="AT35" s="8">
        <v>0.68900000000000006</v>
      </c>
      <c r="AU35" s="8">
        <v>-0.81200000000000006</v>
      </c>
      <c r="AV35" s="8">
        <v>-0.1</v>
      </c>
      <c r="AW35" s="8">
        <v>-0.5</v>
      </c>
      <c r="AX35" s="8">
        <v>-0.44400000000000001</v>
      </c>
      <c r="AY35" s="8">
        <v>0.4</v>
      </c>
      <c r="AZ35" s="8">
        <v>-0.1</v>
      </c>
      <c r="BA35" s="8">
        <v>0.38400000000000001</v>
      </c>
      <c r="BB35" s="8">
        <v>0.33199999999999996</v>
      </c>
    </row>
    <row r="36" spans="1:54" ht="8.25" customHeight="1">
      <c r="A36" s="1">
        <v>12</v>
      </c>
      <c r="G36" s="53">
        <f t="shared" si="2"/>
        <v>12</v>
      </c>
      <c r="I36" s="140"/>
      <c r="J36" s="140"/>
      <c r="K36" s="140"/>
      <c r="L36" s="140"/>
      <c r="M36" s="140"/>
      <c r="N36" s="140"/>
      <c r="O36" s="140"/>
      <c r="P36" s="140"/>
    </row>
    <row r="37" spans="1:54">
      <c r="A37" s="1">
        <v>13</v>
      </c>
      <c r="B37" s="6" t="s">
        <v>254</v>
      </c>
      <c r="C37" s="9">
        <f>HLOOKUP($C$25,$H$25:$BO$37,$G37,FALSE)</f>
        <v>81.221437590000164</v>
      </c>
      <c r="D37" s="9">
        <f>HLOOKUP($D$25,$H$25:$BO$37,$G37,FALSE)</f>
        <v>98.913437590000186</v>
      </c>
      <c r="E37" s="63">
        <f>D37/C37-1</f>
        <v>0.21782426567365043</v>
      </c>
      <c r="G37" s="53">
        <f t="shared" si="2"/>
        <v>13</v>
      </c>
      <c r="H37" s="6" t="s">
        <v>254</v>
      </c>
      <c r="I37" s="18"/>
      <c r="J37" s="18"/>
      <c r="K37" s="18"/>
      <c r="L37" s="18"/>
      <c r="M37" s="18"/>
      <c r="N37" s="18"/>
      <c r="O37" s="18"/>
      <c r="P37" s="18"/>
      <c r="Q37" s="9">
        <v>39.150300000000001</v>
      </c>
      <c r="R37" s="9">
        <v>40.120200000000004</v>
      </c>
      <c r="S37" s="9">
        <v>42.754200000000004</v>
      </c>
      <c r="T37" s="9">
        <v>22.031700000000008</v>
      </c>
      <c r="U37" s="9">
        <v>38.978700000000003</v>
      </c>
      <c r="V37" s="9">
        <v>37.817700000000002</v>
      </c>
      <c r="W37" s="9">
        <v>43.233699999999999</v>
      </c>
      <c r="X37" s="9">
        <v>52.870699999999999</v>
      </c>
      <c r="Y37" s="9">
        <v>40.570700000000002</v>
      </c>
      <c r="Z37" s="9">
        <v>52.370699999999999</v>
      </c>
      <c r="AA37" s="9">
        <v>46.370699999999999</v>
      </c>
      <c r="AB37" s="9">
        <v>23.706199999999999</v>
      </c>
      <c r="AC37" s="9">
        <v>12.970700000000004</v>
      </c>
      <c r="AD37" s="9">
        <v>17.470700000000004</v>
      </c>
      <c r="AE37" s="9">
        <v>13.370700000000005</v>
      </c>
      <c r="AF37" s="9">
        <v>23.770700000000005</v>
      </c>
      <c r="AG37" s="9">
        <v>28.670700000000004</v>
      </c>
      <c r="AH37" s="9">
        <v>40.970700000000001</v>
      </c>
      <c r="AI37" s="9">
        <v>27.370700000000003</v>
      </c>
      <c r="AJ37" s="9">
        <v>30.970700000000008</v>
      </c>
      <c r="AK37" s="9">
        <v>21.771700000000006</v>
      </c>
      <c r="AL37" s="9">
        <v>33.070700000000002</v>
      </c>
      <c r="AM37" s="9">
        <v>21.305700000000009</v>
      </c>
      <c r="AN37" s="9">
        <v>27.720700000000001</v>
      </c>
      <c r="AO37" s="9">
        <v>23.4</v>
      </c>
      <c r="AP37" s="9">
        <v>39.199999999999989</v>
      </c>
      <c r="AQ37" s="9">
        <v>25.247530820000748</v>
      </c>
      <c r="AR37" s="9">
        <v>87.204437590000168</v>
      </c>
      <c r="AS37" s="9">
        <v>76.74943759000017</v>
      </c>
      <c r="AT37" s="9">
        <v>67.538437590000171</v>
      </c>
      <c r="AU37" s="9">
        <v>77.826437590000168</v>
      </c>
      <c r="AV37" s="9">
        <v>83.526437590000171</v>
      </c>
      <c r="AW37" s="9">
        <v>76.626437590000165</v>
      </c>
      <c r="AX37" s="9">
        <v>81.221437590000164</v>
      </c>
      <c r="AY37" s="9">
        <v>79.022437590000166</v>
      </c>
      <c r="AZ37" s="9">
        <v>81.560437590000177</v>
      </c>
      <c r="BA37" s="9">
        <v>75.831437590000178</v>
      </c>
      <c r="BB37" s="9">
        <v>98.913437590000186</v>
      </c>
    </row>
    <row r="40" spans="1:54" ht="93.75" customHeight="1">
      <c r="B40" s="135" t="s">
        <v>256</v>
      </c>
      <c r="C40" s="145"/>
      <c r="D40" s="145"/>
      <c r="E40" s="145"/>
    </row>
  </sheetData>
  <mergeCells count="102">
    <mergeCell ref="BB25:BB26"/>
    <mergeCell ref="B40:E40"/>
    <mergeCell ref="AV25:AV26"/>
    <mergeCell ref="AW25:AW26"/>
    <mergeCell ref="AX25:AX26"/>
    <mergeCell ref="AY25:AY26"/>
    <mergeCell ref="AZ25:AZ26"/>
    <mergeCell ref="BA25:BA26"/>
    <mergeCell ref="AP25:AP26"/>
    <mergeCell ref="AQ25:AQ26"/>
    <mergeCell ref="AR25:AR26"/>
    <mergeCell ref="AS25:AS26"/>
    <mergeCell ref="AT25:AT26"/>
    <mergeCell ref="AU25:AU26"/>
    <mergeCell ref="AJ25:AJ26"/>
    <mergeCell ref="AK25:AK26"/>
    <mergeCell ref="AL25:AL26"/>
    <mergeCell ref="AM25:AM26"/>
    <mergeCell ref="AN25:AN26"/>
    <mergeCell ref="AO25:AO26"/>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5:T26"/>
    <mergeCell ref="U25:U26"/>
    <mergeCell ref="V25:V26"/>
    <mergeCell ref="W25:W26"/>
    <mergeCell ref="L25:L26"/>
    <mergeCell ref="M25:M26"/>
    <mergeCell ref="N25:N26"/>
    <mergeCell ref="O25:O26"/>
    <mergeCell ref="P25:P26"/>
    <mergeCell ref="Q25:Q26"/>
    <mergeCell ref="BB6:BB7"/>
    <mergeCell ref="BE9:BG9"/>
    <mergeCell ref="BH9:BJ9"/>
    <mergeCell ref="BK9:BM9"/>
    <mergeCell ref="C25:C26"/>
    <mergeCell ref="D25:D26"/>
    <mergeCell ref="E25:E26"/>
    <mergeCell ref="I25:I26"/>
    <mergeCell ref="J25:J26"/>
    <mergeCell ref="K25:K26"/>
    <mergeCell ref="AV6:AV7"/>
    <mergeCell ref="AW6:AW7"/>
    <mergeCell ref="AX6:AX7"/>
    <mergeCell ref="AY6:AY7"/>
    <mergeCell ref="AZ6:AZ7"/>
    <mergeCell ref="BA6:BA7"/>
    <mergeCell ref="AP6:AP7"/>
    <mergeCell ref="AQ6:AQ7"/>
    <mergeCell ref="AR6:AR7"/>
    <mergeCell ref="AS6:AS7"/>
    <mergeCell ref="AT6:AT7"/>
    <mergeCell ref="AU6:AU7"/>
    <mergeCell ref="AJ6:AJ7"/>
    <mergeCell ref="AK6:AK7"/>
    <mergeCell ref="AL6:AL7"/>
    <mergeCell ref="AM6:AM7"/>
    <mergeCell ref="AN6:AN7"/>
    <mergeCell ref="AO6:AO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L6:L7"/>
    <mergeCell ref="M6:M7"/>
    <mergeCell ref="N6:N7"/>
    <mergeCell ref="O6:O7"/>
    <mergeCell ref="P6:P7"/>
    <mergeCell ref="Q6:Q7"/>
    <mergeCell ref="C6:C7"/>
    <mergeCell ref="D6:D7"/>
    <mergeCell ref="E6:E7"/>
    <mergeCell ref="I6:I7"/>
    <mergeCell ref="J6:J7"/>
    <mergeCell ref="K6:K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15DD-DC42-45F3-9E26-8695A3ED3A72}">
  <sheetPr codeName="Sheet3">
    <tabColor theme="9" tint="0.79998168889431442"/>
  </sheetPr>
  <dimension ref="B4:F62"/>
  <sheetViews>
    <sheetView zoomScaleNormal="100" workbookViewId="0">
      <selection activeCell="J18" sqref="J18"/>
    </sheetView>
  </sheetViews>
  <sheetFormatPr defaultColWidth="11.42578125" defaultRowHeight="15"/>
  <cols>
    <col min="1" max="1" width="3.140625" style="1" customWidth="1"/>
    <col min="2" max="2" width="35.42578125" style="1" customWidth="1"/>
    <col min="3" max="3" width="31" style="1" customWidth="1"/>
    <col min="4" max="4" width="24.5703125" style="1" customWidth="1"/>
    <col min="5" max="5" width="23.42578125" style="1" customWidth="1"/>
    <col min="6" max="6" width="24.42578125" style="1" customWidth="1"/>
    <col min="7" max="16384" width="11.42578125" style="1"/>
  </cols>
  <sheetData>
    <row r="4" spans="2:6" ht="23.25">
      <c r="B4" s="11" t="s">
        <v>0</v>
      </c>
      <c r="C4" s="12"/>
      <c r="D4" s="12"/>
      <c r="E4" s="12"/>
      <c r="F4" s="12"/>
    </row>
    <row r="5" spans="2:6" ht="7.5" customHeight="1"/>
    <row r="6" spans="2:6" ht="15.75" customHeight="1">
      <c r="B6" s="56"/>
      <c r="C6" s="110" t="s">
        <v>1</v>
      </c>
      <c r="D6" s="110" t="s">
        <v>2</v>
      </c>
      <c r="E6" s="110" t="s">
        <v>3</v>
      </c>
      <c r="F6" s="110" t="s">
        <v>4</v>
      </c>
    </row>
    <row r="8" spans="2:6" ht="16.5" customHeight="1">
      <c r="B8" s="6" t="s">
        <v>5</v>
      </c>
      <c r="C8" s="6"/>
      <c r="D8" s="6"/>
      <c r="E8" s="6"/>
      <c r="F8" s="6"/>
    </row>
    <row r="9" spans="2:6">
      <c r="B9" s="13"/>
      <c r="C9" s="109"/>
      <c r="D9" s="109"/>
      <c r="E9" s="109"/>
      <c r="F9" s="108"/>
    </row>
    <row r="10" spans="2:6">
      <c r="B10" s="13" t="s">
        <v>6</v>
      </c>
      <c r="C10" s="115">
        <v>1000</v>
      </c>
      <c r="D10" s="116">
        <v>2011</v>
      </c>
      <c r="E10" s="116">
        <v>2025</v>
      </c>
      <c r="F10" s="116" t="s">
        <v>32</v>
      </c>
    </row>
    <row r="11" spans="2:6" ht="15.75" customHeight="1">
      <c r="B11" s="13" t="s">
        <v>8</v>
      </c>
      <c r="C11" s="116">
        <f>380+427</f>
        <v>807</v>
      </c>
      <c r="D11" s="116">
        <v>2017</v>
      </c>
      <c r="E11" s="116">
        <v>2031</v>
      </c>
      <c r="F11" s="116" t="s">
        <v>32</v>
      </c>
    </row>
    <row r="12" spans="2:6">
      <c r="C12" s="84"/>
      <c r="D12" s="84"/>
      <c r="E12" s="84"/>
    </row>
    <row r="13" spans="2:6" ht="15.75" customHeight="1">
      <c r="B13" s="6" t="s">
        <v>9</v>
      </c>
      <c r="C13" s="80"/>
      <c r="D13" s="80"/>
      <c r="E13" s="80"/>
      <c r="F13" s="6"/>
    </row>
    <row r="14" spans="2:6">
      <c r="B14" s="13"/>
      <c r="C14" s="109"/>
      <c r="D14" s="109"/>
      <c r="E14" s="109"/>
      <c r="F14" s="108"/>
    </row>
    <row r="15" spans="2:6">
      <c r="B15" s="13" t="s">
        <v>10</v>
      </c>
      <c r="C15" s="115">
        <v>1542</v>
      </c>
      <c r="D15" s="116">
        <v>2010</v>
      </c>
      <c r="E15" s="116">
        <v>2029</v>
      </c>
      <c r="F15" s="116" t="s">
        <v>7</v>
      </c>
    </row>
    <row r="16" spans="2:6">
      <c r="B16" s="13" t="s">
        <v>11</v>
      </c>
      <c r="C16" s="116" t="s">
        <v>12</v>
      </c>
      <c r="D16" s="116" t="s">
        <v>13</v>
      </c>
      <c r="E16" s="116" t="s">
        <v>238</v>
      </c>
      <c r="F16" s="116" t="s">
        <v>14</v>
      </c>
    </row>
    <row r="17" spans="2:6" ht="15" customHeight="1">
      <c r="B17" s="13" t="s">
        <v>15</v>
      </c>
      <c r="C17" s="116">
        <v>662</v>
      </c>
      <c r="D17" s="116">
        <v>2017</v>
      </c>
      <c r="E17" s="116">
        <v>2027</v>
      </c>
      <c r="F17" s="116" t="s">
        <v>7</v>
      </c>
    </row>
    <row r="18" spans="2:6">
      <c r="B18" s="13" t="s">
        <v>16</v>
      </c>
      <c r="C18" s="116">
        <v>300</v>
      </c>
      <c r="D18" s="116">
        <v>2017</v>
      </c>
      <c r="E18" s="116">
        <v>2026</v>
      </c>
      <c r="F18" s="116" t="s">
        <v>17</v>
      </c>
    </row>
    <row r="19" spans="2:6">
      <c r="B19" s="13" t="s">
        <v>18</v>
      </c>
      <c r="C19" s="116">
        <v>170</v>
      </c>
      <c r="D19" s="116">
        <v>2017</v>
      </c>
      <c r="E19" s="116">
        <v>2031</v>
      </c>
      <c r="F19" s="116" t="s">
        <v>7</v>
      </c>
    </row>
    <row r="20" spans="2:6">
      <c r="B20" s="13" t="s">
        <v>19</v>
      </c>
      <c r="C20" s="116">
        <v>500</v>
      </c>
      <c r="D20" s="116">
        <v>2020</v>
      </c>
      <c r="E20" s="116">
        <v>2030</v>
      </c>
      <c r="F20" s="116" t="s">
        <v>17</v>
      </c>
    </row>
    <row r="21" spans="2:6">
      <c r="B21" s="13" t="s">
        <v>20</v>
      </c>
      <c r="C21" s="115">
        <v>3300</v>
      </c>
      <c r="D21" s="116">
        <v>2022</v>
      </c>
      <c r="E21" s="116">
        <v>2031</v>
      </c>
      <c r="F21" s="116" t="s">
        <v>17</v>
      </c>
    </row>
    <row r="22" spans="2:6">
      <c r="B22" s="13" t="s">
        <v>21</v>
      </c>
      <c r="C22" s="116">
        <v>200</v>
      </c>
      <c r="D22" s="116">
        <v>2023</v>
      </c>
      <c r="E22" s="116">
        <v>2030</v>
      </c>
      <c r="F22" s="116" t="s">
        <v>17</v>
      </c>
    </row>
    <row r="23" spans="2:6">
      <c r="B23" s="13" t="s">
        <v>22</v>
      </c>
      <c r="C23" s="116" t="s">
        <v>23</v>
      </c>
      <c r="D23" s="116" t="s">
        <v>239</v>
      </c>
      <c r="E23" s="116" t="s">
        <v>240</v>
      </c>
      <c r="F23" s="116" t="s">
        <v>17</v>
      </c>
    </row>
    <row r="24" spans="2:6">
      <c r="B24" s="13" t="s">
        <v>24</v>
      </c>
      <c r="C24" s="116">
        <v>24</v>
      </c>
      <c r="D24" s="116">
        <v>2024</v>
      </c>
      <c r="E24" s="116">
        <v>2033</v>
      </c>
      <c r="F24" s="116" t="s">
        <v>17</v>
      </c>
    </row>
    <row r="25" spans="2:6">
      <c r="B25" s="13" t="s">
        <v>25</v>
      </c>
      <c r="C25" s="116">
        <v>280</v>
      </c>
      <c r="D25" s="116">
        <v>2025</v>
      </c>
      <c r="E25" s="116">
        <v>2035</v>
      </c>
      <c r="F25" s="116" t="s">
        <v>17</v>
      </c>
    </row>
    <row r="26" spans="2:6">
      <c r="B26" s="13" t="s">
        <v>26</v>
      </c>
      <c r="C26" s="116">
        <v>912</v>
      </c>
      <c r="D26" s="116">
        <v>2025</v>
      </c>
      <c r="E26" s="116">
        <v>2040</v>
      </c>
      <c r="F26" s="116" t="s">
        <v>17</v>
      </c>
    </row>
    <row r="27" spans="2:6">
      <c r="B27" s="13" t="s">
        <v>27</v>
      </c>
      <c r="C27" s="115">
        <v>1100</v>
      </c>
      <c r="D27" s="116">
        <v>2026</v>
      </c>
      <c r="E27" s="116">
        <v>2040</v>
      </c>
      <c r="F27" s="116" t="s">
        <v>17</v>
      </c>
    </row>
    <row r="28" spans="2:6">
      <c r="B28" s="13" t="s">
        <v>241</v>
      </c>
      <c r="C28" s="115">
        <v>150</v>
      </c>
      <c r="D28" s="116">
        <v>2026</v>
      </c>
      <c r="E28" s="116">
        <v>2029</v>
      </c>
      <c r="F28" s="116" t="s">
        <v>17</v>
      </c>
    </row>
    <row r="30" spans="2:6">
      <c r="B30" s="130" t="s">
        <v>28</v>
      </c>
      <c r="C30" s="130"/>
      <c r="D30" s="130"/>
      <c r="E30" s="130"/>
    </row>
    <row r="35" spans="2:6" ht="23.25">
      <c r="B35" s="11" t="s">
        <v>29</v>
      </c>
      <c r="C35" s="114"/>
      <c r="D35" s="12"/>
      <c r="E35" s="12"/>
      <c r="F35" s="12"/>
    </row>
    <row r="37" spans="2:6">
      <c r="B37" s="56"/>
      <c r="C37" s="110" t="s">
        <v>30</v>
      </c>
      <c r="D37" s="110" t="s">
        <v>2</v>
      </c>
      <c r="E37" s="110" t="s">
        <v>3</v>
      </c>
      <c r="F37" s="110" t="s">
        <v>4</v>
      </c>
    </row>
    <row r="39" spans="2:6">
      <c r="B39" s="6" t="s">
        <v>5</v>
      </c>
      <c r="C39" s="6"/>
      <c r="D39" s="6"/>
      <c r="E39" s="6"/>
      <c r="F39" s="6"/>
    </row>
    <row r="40" spans="2:6">
      <c r="B40" s="13"/>
      <c r="C40" s="125"/>
      <c r="D40" s="125"/>
      <c r="E40" s="125"/>
      <c r="F40" s="125"/>
    </row>
    <row r="41" spans="2:6">
      <c r="B41" s="13" t="s">
        <v>31</v>
      </c>
      <c r="C41" s="126">
        <v>63.46</v>
      </c>
      <c r="D41" s="125">
        <v>2014</v>
      </c>
      <c r="E41" s="125">
        <v>2030</v>
      </c>
      <c r="F41" s="125" t="s">
        <v>32</v>
      </c>
    </row>
    <row r="42" spans="2:6">
      <c r="B42" s="13" t="s">
        <v>33</v>
      </c>
      <c r="C42" s="126">
        <v>47.6</v>
      </c>
      <c r="D42" s="125">
        <v>2016</v>
      </c>
      <c r="E42" s="125">
        <v>2027</v>
      </c>
      <c r="F42" s="125" t="s">
        <v>32</v>
      </c>
    </row>
    <row r="43" spans="2:6">
      <c r="B43" s="13" t="s">
        <v>34</v>
      </c>
      <c r="C43" s="126">
        <v>51.59</v>
      </c>
      <c r="D43" s="125">
        <v>2018</v>
      </c>
      <c r="E43" s="125">
        <v>2030</v>
      </c>
      <c r="F43" s="125" t="s">
        <v>32</v>
      </c>
    </row>
    <row r="44" spans="2:6">
      <c r="B44" s="13" t="s">
        <v>35</v>
      </c>
      <c r="C44" s="126">
        <v>10.94</v>
      </c>
      <c r="D44" s="125">
        <v>2023</v>
      </c>
      <c r="E44" s="125">
        <v>2032</v>
      </c>
      <c r="F44" s="125" t="s">
        <v>32</v>
      </c>
    </row>
    <row r="45" spans="2:6">
      <c r="B45" s="13" t="s">
        <v>36</v>
      </c>
      <c r="C45" s="126">
        <v>8.89</v>
      </c>
      <c r="D45" s="125">
        <v>2024</v>
      </c>
      <c r="E45" s="125">
        <v>2030</v>
      </c>
      <c r="F45" s="125" t="s">
        <v>32</v>
      </c>
    </row>
    <row r="46" spans="2:6">
      <c r="B46" s="13" t="s">
        <v>37</v>
      </c>
      <c r="C46" s="127" t="s">
        <v>38</v>
      </c>
      <c r="D46" s="125">
        <v>2025</v>
      </c>
      <c r="E46" s="125">
        <v>2028</v>
      </c>
      <c r="F46" s="125" t="s">
        <v>32</v>
      </c>
    </row>
    <row r="47" spans="2:6">
      <c r="B47" s="13" t="s">
        <v>39</v>
      </c>
      <c r="C47" s="126">
        <v>200</v>
      </c>
      <c r="D47" s="125">
        <v>2026</v>
      </c>
      <c r="E47" s="125">
        <v>2031</v>
      </c>
      <c r="F47" s="125" t="s">
        <v>32</v>
      </c>
    </row>
    <row r="48" spans="2:6">
      <c r="C48" s="84"/>
      <c r="D48" s="84"/>
      <c r="E48" s="84"/>
    </row>
    <row r="49" spans="2:6">
      <c r="B49" s="6" t="s">
        <v>9</v>
      </c>
      <c r="C49" s="80"/>
      <c r="D49" s="80"/>
      <c r="E49" s="80"/>
      <c r="F49" s="6"/>
    </row>
    <row r="50" spans="2:6">
      <c r="B50" s="13"/>
      <c r="C50" s="115"/>
      <c r="D50" s="116"/>
      <c r="E50" s="116"/>
      <c r="F50" s="116"/>
    </row>
    <row r="51" spans="2:6">
      <c r="B51" s="13" t="s">
        <v>40</v>
      </c>
      <c r="C51" s="127">
        <v>8.6</v>
      </c>
      <c r="D51" s="125">
        <v>2016</v>
      </c>
      <c r="E51" s="125">
        <v>2026</v>
      </c>
      <c r="F51" s="125" t="s">
        <v>32</v>
      </c>
    </row>
    <row r="52" spans="2:6">
      <c r="B52" s="13" t="s">
        <v>41</v>
      </c>
      <c r="C52" s="127">
        <v>75</v>
      </c>
      <c r="D52" s="125">
        <v>2021</v>
      </c>
      <c r="E52" s="125">
        <v>2026</v>
      </c>
      <c r="F52" s="125" t="s">
        <v>32</v>
      </c>
    </row>
    <row r="53" spans="2:6">
      <c r="B53" s="13" t="s">
        <v>42</v>
      </c>
      <c r="C53" s="127">
        <v>7.9</v>
      </c>
      <c r="D53" s="125">
        <v>2021</v>
      </c>
      <c r="E53" s="125">
        <v>2026</v>
      </c>
      <c r="F53" s="125" t="s">
        <v>32</v>
      </c>
    </row>
    <row r="54" spans="2:6">
      <c r="B54" s="13" t="s">
        <v>43</v>
      </c>
      <c r="C54" s="127">
        <v>7</v>
      </c>
      <c r="D54" s="125">
        <v>2022</v>
      </c>
      <c r="E54" s="125">
        <v>2028</v>
      </c>
      <c r="F54" s="125" t="s">
        <v>32</v>
      </c>
    </row>
    <row r="55" spans="2:6">
      <c r="B55" s="13" t="s">
        <v>44</v>
      </c>
      <c r="C55" s="127">
        <v>10.55</v>
      </c>
      <c r="D55" s="125">
        <v>2022</v>
      </c>
      <c r="E55" s="125">
        <v>2027</v>
      </c>
      <c r="F55" s="125" t="s">
        <v>32</v>
      </c>
    </row>
    <row r="56" spans="2:6">
      <c r="B56" s="13" t="s">
        <v>45</v>
      </c>
      <c r="C56" s="127">
        <v>6.7</v>
      </c>
      <c r="D56" s="125">
        <v>2023</v>
      </c>
      <c r="E56" s="125">
        <v>2025</v>
      </c>
      <c r="F56" s="125" t="s">
        <v>32</v>
      </c>
    </row>
    <row r="57" spans="2:6">
      <c r="B57" s="13" t="s">
        <v>46</v>
      </c>
      <c r="C57" s="127">
        <v>12</v>
      </c>
      <c r="D57" s="125">
        <v>2023</v>
      </c>
      <c r="E57" s="125">
        <v>2025</v>
      </c>
      <c r="F57" s="125" t="s">
        <v>32</v>
      </c>
    </row>
    <row r="58" spans="2:6">
      <c r="B58" s="13" t="s">
        <v>47</v>
      </c>
      <c r="C58" s="127">
        <v>7.25</v>
      </c>
      <c r="D58" s="125">
        <v>2023</v>
      </c>
      <c r="E58" s="125">
        <v>2028</v>
      </c>
      <c r="F58" s="125" t="s">
        <v>32</v>
      </c>
    </row>
    <row r="59" spans="2:6">
      <c r="B59" s="13" t="s">
        <v>48</v>
      </c>
      <c r="C59" s="127" t="s">
        <v>49</v>
      </c>
      <c r="D59" s="125">
        <v>2024</v>
      </c>
      <c r="E59" s="125">
        <v>2033</v>
      </c>
      <c r="F59" s="125" t="s">
        <v>32</v>
      </c>
    </row>
    <row r="60" spans="2:6">
      <c r="B60" s="13" t="s">
        <v>50</v>
      </c>
      <c r="C60" s="127">
        <v>7.75</v>
      </c>
      <c r="D60" s="125">
        <v>2024</v>
      </c>
      <c r="E60" s="125">
        <v>2028</v>
      </c>
      <c r="F60" s="125" t="s">
        <v>32</v>
      </c>
    </row>
    <row r="62" spans="2:6">
      <c r="B62" s="130" t="s">
        <v>51</v>
      </c>
      <c r="C62" s="130"/>
      <c r="D62" s="130"/>
      <c r="E62" s="130"/>
    </row>
  </sheetData>
  <mergeCells count="2">
    <mergeCell ref="B30:E30"/>
    <mergeCell ref="B62:E6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2FE29-E31B-4F06-9591-823ED18C3791}">
  <sheetPr codeName="Sheet2">
    <tabColor theme="9" tint="0.79998168889431442"/>
  </sheetPr>
  <dimension ref="A4:I49"/>
  <sheetViews>
    <sheetView topLeftCell="B1" zoomScaleNormal="100" workbookViewId="0">
      <selection activeCell="B11" sqref="B11"/>
    </sheetView>
  </sheetViews>
  <sheetFormatPr defaultColWidth="11.42578125" defaultRowHeight="15"/>
  <cols>
    <col min="1" max="1" width="0" style="1" hidden="1" customWidth="1"/>
    <col min="2" max="2" width="40.42578125" style="1" customWidth="1"/>
    <col min="3" max="3" width="11.42578125" style="1" customWidth="1"/>
    <col min="4" max="4" width="22" style="1" customWidth="1"/>
    <col min="5" max="5" width="33.85546875" style="1" customWidth="1"/>
    <col min="6" max="16384" width="11.42578125" style="1"/>
  </cols>
  <sheetData>
    <row r="4" spans="1:9" ht="23.25">
      <c r="B4" s="11" t="s">
        <v>0</v>
      </c>
      <c r="C4" s="12"/>
      <c r="D4" s="12"/>
      <c r="E4" s="12"/>
    </row>
    <row r="5" spans="1:9" ht="7.5" customHeight="1"/>
    <row r="6" spans="1:9" ht="15.75" customHeight="1">
      <c r="A6" s="1">
        <v>1</v>
      </c>
      <c r="B6" s="131" t="s">
        <v>52</v>
      </c>
      <c r="C6" s="133" t="s">
        <v>53</v>
      </c>
      <c r="D6" s="133" t="s">
        <v>54</v>
      </c>
      <c r="E6" s="133" t="s">
        <v>55</v>
      </c>
    </row>
    <row r="7" spans="1:9">
      <c r="A7" s="1">
        <v>2</v>
      </c>
      <c r="B7" s="131"/>
      <c r="C7" s="133"/>
      <c r="D7" s="133"/>
      <c r="E7" s="133"/>
      <c r="H7" s="84"/>
    </row>
    <row r="8" spans="1:9" ht="4.5" customHeight="1">
      <c r="A8" s="1">
        <v>3</v>
      </c>
      <c r="C8" s="76"/>
      <c r="D8" s="76"/>
      <c r="E8" s="76"/>
    </row>
    <row r="9" spans="1:9">
      <c r="A9" s="1">
        <v>4</v>
      </c>
      <c r="B9" s="82" t="s">
        <v>56</v>
      </c>
      <c r="C9" s="109">
        <v>199</v>
      </c>
      <c r="D9" s="108" t="s">
        <v>57</v>
      </c>
      <c r="E9" s="108" t="s">
        <v>58</v>
      </c>
      <c r="H9" s="84"/>
      <c r="I9" s="86"/>
    </row>
    <row r="10" spans="1:9" ht="15.75" customHeight="1">
      <c r="A10" s="1">
        <v>6</v>
      </c>
      <c r="B10" s="82" t="s">
        <v>59</v>
      </c>
      <c r="C10" s="109">
        <v>660</v>
      </c>
      <c r="D10" s="108" t="s">
        <v>57</v>
      </c>
      <c r="E10" s="108" t="s">
        <v>60</v>
      </c>
      <c r="I10" s="86"/>
    </row>
    <row r="11" spans="1:9">
      <c r="A11" s="1">
        <v>7</v>
      </c>
      <c r="B11" s="82" t="s">
        <v>61</v>
      </c>
      <c r="C11" s="109">
        <v>249.2</v>
      </c>
      <c r="D11" s="108" t="s">
        <v>57</v>
      </c>
      <c r="E11" s="108" t="s">
        <v>58</v>
      </c>
      <c r="H11" s="84"/>
      <c r="I11" s="86"/>
    </row>
    <row r="12" spans="1:9" ht="15.75" customHeight="1">
      <c r="A12" s="1">
        <v>8</v>
      </c>
      <c r="B12" s="82" t="s">
        <v>62</v>
      </c>
      <c r="C12" s="109">
        <v>323.8</v>
      </c>
      <c r="D12" s="108" t="s">
        <v>57</v>
      </c>
      <c r="E12" s="108" t="s">
        <v>60</v>
      </c>
      <c r="H12" s="84"/>
      <c r="I12" s="86"/>
    </row>
    <row r="13" spans="1:9">
      <c r="A13" s="1">
        <v>9</v>
      </c>
      <c r="B13" s="82" t="s">
        <v>63</v>
      </c>
      <c r="C13" s="109">
        <v>172</v>
      </c>
      <c r="D13" s="108" t="s">
        <v>57</v>
      </c>
      <c r="E13" s="108" t="s">
        <v>64</v>
      </c>
    </row>
    <row r="14" spans="1:9">
      <c r="A14" s="1">
        <v>10</v>
      </c>
      <c r="B14" s="6" t="s">
        <v>65</v>
      </c>
      <c r="C14" s="117">
        <f>SUM(C8:C13)</f>
        <v>1604</v>
      </c>
      <c r="D14" s="118"/>
      <c r="E14" s="119"/>
      <c r="F14" s="86"/>
      <c r="G14" s="86"/>
      <c r="H14" s="86"/>
    </row>
    <row r="15" spans="1:9">
      <c r="A15" s="1">
        <v>11</v>
      </c>
      <c r="B15" s="82" t="s">
        <v>66</v>
      </c>
      <c r="C15" s="109">
        <v>9</v>
      </c>
      <c r="D15" s="108" t="s">
        <v>67</v>
      </c>
      <c r="E15" s="108" t="s">
        <v>60</v>
      </c>
      <c r="F15" s="86"/>
      <c r="G15" s="86"/>
      <c r="H15" s="86"/>
    </row>
    <row r="16" spans="1:9" ht="15" customHeight="1">
      <c r="A16" s="1">
        <v>12</v>
      </c>
      <c r="B16" s="82" t="s">
        <v>68</v>
      </c>
      <c r="C16" s="109">
        <v>9.1999999999999993</v>
      </c>
      <c r="D16" s="108" t="s">
        <v>67</v>
      </c>
      <c r="E16" s="108" t="s">
        <v>60</v>
      </c>
      <c r="F16" s="86"/>
      <c r="G16" s="86"/>
      <c r="H16" s="86"/>
    </row>
    <row r="17" spans="1:8">
      <c r="A17" s="1">
        <v>13</v>
      </c>
      <c r="B17" s="82" t="s">
        <v>69</v>
      </c>
      <c r="C17" s="109">
        <v>211.6</v>
      </c>
      <c r="D17" s="108" t="s">
        <v>67</v>
      </c>
      <c r="E17" s="108" t="s">
        <v>70</v>
      </c>
      <c r="F17" s="86"/>
      <c r="H17" s="86"/>
    </row>
    <row r="18" spans="1:8">
      <c r="B18" s="6" t="s">
        <v>71</v>
      </c>
      <c r="C18" s="117">
        <f>SUM(C15:C17)</f>
        <v>229.79999999999998</v>
      </c>
      <c r="D18" s="118"/>
      <c r="E18" s="119"/>
      <c r="F18" s="49"/>
      <c r="G18" s="86"/>
      <c r="H18" s="86"/>
    </row>
    <row r="19" spans="1:8">
      <c r="B19" s="82" t="s">
        <v>72</v>
      </c>
      <c r="C19" s="109">
        <v>335.4</v>
      </c>
      <c r="D19" s="108" t="s">
        <v>73</v>
      </c>
      <c r="E19" s="108" t="s">
        <v>74</v>
      </c>
      <c r="F19" s="86"/>
      <c r="G19" s="84"/>
      <c r="H19" s="86"/>
    </row>
    <row r="20" spans="1:8">
      <c r="B20" s="82" t="s">
        <v>75</v>
      </c>
      <c r="C20" s="109">
        <v>411.2</v>
      </c>
      <c r="D20" s="108" t="s">
        <v>73</v>
      </c>
      <c r="E20" s="108" t="s">
        <v>74</v>
      </c>
      <c r="F20" s="86"/>
      <c r="G20" s="84"/>
    </row>
    <row r="21" spans="1:8">
      <c r="B21" s="82" t="s">
        <v>76</v>
      </c>
      <c r="C21" s="109">
        <v>108</v>
      </c>
      <c r="D21" s="108" t="s">
        <v>77</v>
      </c>
      <c r="E21" s="108" t="s">
        <v>74</v>
      </c>
      <c r="F21" s="86"/>
    </row>
    <row r="22" spans="1:8">
      <c r="B22" s="82" t="s">
        <v>78</v>
      </c>
      <c r="C22" s="109">
        <v>239</v>
      </c>
      <c r="D22" s="108" t="s">
        <v>77</v>
      </c>
      <c r="E22" s="108" t="s">
        <v>79</v>
      </c>
      <c r="F22" s="86"/>
    </row>
    <row r="23" spans="1:8">
      <c r="B23" s="82" t="s">
        <v>80</v>
      </c>
      <c r="C23" s="109">
        <v>107.7</v>
      </c>
      <c r="D23" s="108" t="s">
        <v>81</v>
      </c>
      <c r="E23" s="108" t="s">
        <v>82</v>
      </c>
      <c r="F23" s="86"/>
    </row>
    <row r="24" spans="1:8">
      <c r="B24" s="82" t="s">
        <v>83</v>
      </c>
      <c r="C24" s="109">
        <v>374</v>
      </c>
      <c r="D24" s="108" t="s">
        <v>84</v>
      </c>
      <c r="E24" s="108" t="s">
        <v>82</v>
      </c>
      <c r="F24" s="86"/>
    </row>
    <row r="25" spans="1:8">
      <c r="B25" s="6" t="s">
        <v>85</v>
      </c>
      <c r="C25" s="117">
        <f>SUM(C19:C24)</f>
        <v>1575.3</v>
      </c>
      <c r="D25" s="118"/>
      <c r="E25" s="118"/>
      <c r="F25" s="86"/>
    </row>
    <row r="26" spans="1:8">
      <c r="B26" s="82" t="s">
        <v>86</v>
      </c>
      <c r="C26" s="109">
        <v>193</v>
      </c>
      <c r="D26" s="108" t="s">
        <v>87</v>
      </c>
      <c r="E26" s="108" t="s">
        <v>88</v>
      </c>
      <c r="F26" s="86"/>
    </row>
    <row r="27" spans="1:8">
      <c r="B27" s="82" t="s">
        <v>89</v>
      </c>
      <c r="C27" s="109">
        <v>46</v>
      </c>
      <c r="D27" s="108" t="s">
        <v>87</v>
      </c>
      <c r="E27" s="108" t="s">
        <v>90</v>
      </c>
      <c r="F27" s="86"/>
    </row>
    <row r="28" spans="1:8">
      <c r="B28" s="82" t="s">
        <v>242</v>
      </c>
      <c r="C28" s="109">
        <v>816</v>
      </c>
      <c r="D28" s="108" t="s">
        <v>87</v>
      </c>
      <c r="E28" s="108" t="s">
        <v>70</v>
      </c>
      <c r="F28" s="86"/>
    </row>
    <row r="29" spans="1:8">
      <c r="B29" s="6" t="s">
        <v>91</v>
      </c>
      <c r="C29" s="117">
        <f>+C26+C27+C28</f>
        <v>1055</v>
      </c>
      <c r="D29" s="118"/>
      <c r="E29" s="118"/>
      <c r="F29" s="86"/>
    </row>
    <row r="30" spans="1:8">
      <c r="B30" s="81" t="s">
        <v>92</v>
      </c>
      <c r="C30" s="120">
        <f>C14+C18+C25+C29</f>
        <v>4464.1000000000004</v>
      </c>
      <c r="D30" s="120"/>
      <c r="E30" s="121"/>
      <c r="F30" s="86"/>
      <c r="G30" s="84"/>
    </row>
    <row r="31" spans="1:8">
      <c r="C31" s="84"/>
      <c r="D31" s="84"/>
      <c r="F31" s="86"/>
    </row>
    <row r="32" spans="1:8" ht="23.25">
      <c r="B32" s="11" t="s">
        <v>29</v>
      </c>
      <c r="C32" s="114"/>
      <c r="D32" s="12"/>
      <c r="E32" s="12"/>
      <c r="F32" s="86"/>
    </row>
    <row r="33" spans="1:7" ht="7.5" customHeight="1">
      <c r="C33" s="84"/>
      <c r="F33" s="86"/>
    </row>
    <row r="34" spans="1:7">
      <c r="A34" s="1">
        <v>1</v>
      </c>
      <c r="B34" s="131" t="s">
        <v>52</v>
      </c>
      <c r="C34" s="132" t="s">
        <v>53</v>
      </c>
      <c r="D34" s="133" t="s">
        <v>54</v>
      </c>
      <c r="E34" s="133" t="s">
        <v>55</v>
      </c>
      <c r="F34" s="86"/>
    </row>
    <row r="35" spans="1:7">
      <c r="A35" s="1">
        <v>2</v>
      </c>
      <c r="B35" s="131"/>
      <c r="C35" s="132"/>
      <c r="D35" s="133"/>
      <c r="E35" s="133"/>
      <c r="F35" s="86"/>
    </row>
    <row r="36" spans="1:7" ht="4.5" customHeight="1">
      <c r="A36" s="1">
        <v>3</v>
      </c>
      <c r="C36" s="122"/>
      <c r="D36" s="76"/>
      <c r="E36" s="76"/>
      <c r="F36" s="86"/>
    </row>
    <row r="37" spans="1:7">
      <c r="A37" s="1">
        <v>4</v>
      </c>
      <c r="B37" s="5" t="s">
        <v>93</v>
      </c>
      <c r="C37" s="109">
        <v>572</v>
      </c>
      <c r="D37" s="108" t="s">
        <v>73</v>
      </c>
      <c r="E37" s="108" t="s">
        <v>94</v>
      </c>
      <c r="F37" s="86"/>
    </row>
    <row r="38" spans="1:7">
      <c r="A38" s="1">
        <v>5</v>
      </c>
      <c r="B38" s="6" t="s">
        <v>85</v>
      </c>
      <c r="C38" s="117">
        <f>SUM(C32:C37)</f>
        <v>572</v>
      </c>
      <c r="D38" s="119"/>
      <c r="E38" s="119"/>
      <c r="F38" s="86"/>
      <c r="G38" s="84"/>
    </row>
    <row r="39" spans="1:7" ht="19.5" customHeight="1">
      <c r="A39" s="1">
        <v>6</v>
      </c>
      <c r="B39" s="81" t="s">
        <v>95</v>
      </c>
      <c r="C39" s="120">
        <f>C38</f>
        <v>572</v>
      </c>
      <c r="D39" s="110"/>
      <c r="E39" s="110"/>
      <c r="F39" s="86"/>
    </row>
    <row r="40" spans="1:7">
      <c r="C40" s="122"/>
      <c r="D40" s="76"/>
      <c r="E40" s="76"/>
      <c r="F40" s="86"/>
    </row>
    <row r="41" spans="1:7">
      <c r="B41" s="3" t="s">
        <v>96</v>
      </c>
      <c r="C41" s="132">
        <f>C30+C39</f>
        <v>5036.1000000000004</v>
      </c>
      <c r="D41" s="132"/>
      <c r="E41" s="132"/>
      <c r="F41" s="86"/>
    </row>
    <row r="42" spans="1:7">
      <c r="B42" s="3"/>
      <c r="C42" s="132"/>
      <c r="D42" s="133"/>
      <c r="E42" s="133"/>
      <c r="F42" s="86"/>
    </row>
    <row r="43" spans="1:7">
      <c r="C43" s="48"/>
      <c r="D43" s="48"/>
      <c r="E43" s="48"/>
    </row>
    <row r="44" spans="1:7">
      <c r="C44" s="48"/>
      <c r="D44" s="48"/>
      <c r="E44" s="48"/>
    </row>
    <row r="45" spans="1:7">
      <c r="C45" s="48"/>
      <c r="D45" s="48"/>
      <c r="E45" s="48"/>
    </row>
    <row r="46" spans="1:7">
      <c r="C46" s="48"/>
      <c r="D46" s="48"/>
      <c r="E46" s="48"/>
    </row>
    <row r="47" spans="1:7">
      <c r="C47" s="48"/>
      <c r="D47" s="48"/>
      <c r="E47" s="48"/>
    </row>
    <row r="48" spans="1:7">
      <c r="C48" s="48"/>
      <c r="D48" s="48"/>
      <c r="E48" s="48"/>
    </row>
    <row r="49" spans="3:5">
      <c r="C49" s="48"/>
      <c r="D49" s="48"/>
      <c r="E49" s="48"/>
    </row>
  </sheetData>
  <mergeCells count="11">
    <mergeCell ref="B6:B7"/>
    <mergeCell ref="B34:B35"/>
    <mergeCell ref="C41:C42"/>
    <mergeCell ref="D41:D42"/>
    <mergeCell ref="E41:E42"/>
    <mergeCell ref="D6:D7"/>
    <mergeCell ref="E6:E7"/>
    <mergeCell ref="C6:C7"/>
    <mergeCell ref="D34:D35"/>
    <mergeCell ref="E34:E35"/>
    <mergeCell ref="C34:C3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79998168889431442"/>
  </sheetPr>
  <dimension ref="A4:BI53"/>
  <sheetViews>
    <sheetView zoomScaleNormal="100" workbookViewId="0">
      <selection activeCell="F32" sqref="F32"/>
    </sheetView>
  </sheetViews>
  <sheetFormatPr defaultColWidth="11.42578125" defaultRowHeight="15"/>
  <cols>
    <col min="1" max="1" width="3" style="1" bestFit="1" customWidth="1"/>
    <col min="2" max="2" width="67.5703125" style="1" bestFit="1" customWidth="1"/>
    <col min="3" max="4" width="7.7109375" style="1" bestFit="1" customWidth="1"/>
    <col min="5" max="5" width="7.42578125" style="1" bestFit="1" customWidth="1"/>
    <col min="6" max="6" width="11.42578125" style="1"/>
    <col min="7" max="7" width="3" style="53" bestFit="1" customWidth="1"/>
    <col min="8" max="8" width="33.85546875" style="1" bestFit="1" customWidth="1"/>
    <col min="9" max="54" width="7.7109375" style="1" bestFit="1" customWidth="1"/>
    <col min="55" max="16384" width="11.42578125" style="1"/>
  </cols>
  <sheetData>
    <row r="4" spans="1:54" ht="23.2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row>
    <row r="6" spans="1:54">
      <c r="A6" s="53">
        <v>1</v>
      </c>
      <c r="B6" s="3" t="s">
        <v>97</v>
      </c>
      <c r="C6" s="134" t="s">
        <v>141</v>
      </c>
      <c r="D6" s="134" t="s">
        <v>237</v>
      </c>
      <c r="E6" s="134" t="s">
        <v>100</v>
      </c>
      <c r="G6" s="53">
        <v>1</v>
      </c>
      <c r="H6" s="3" t="s">
        <v>97</v>
      </c>
      <c r="I6" s="134" t="s">
        <v>101</v>
      </c>
      <c r="J6" s="134" t="s">
        <v>102</v>
      </c>
      <c r="K6" s="134" t="s">
        <v>103</v>
      </c>
      <c r="L6" s="134" t="s">
        <v>104</v>
      </c>
      <c r="M6" s="134" t="s">
        <v>105</v>
      </c>
      <c r="N6" s="134" t="s">
        <v>106</v>
      </c>
      <c r="O6" s="134" t="s">
        <v>107</v>
      </c>
      <c r="P6" s="134" t="s">
        <v>108</v>
      </c>
      <c r="Q6" s="134" t="s">
        <v>109</v>
      </c>
      <c r="R6" s="134" t="s">
        <v>110</v>
      </c>
      <c r="S6" s="134" t="s">
        <v>111</v>
      </c>
      <c r="T6" s="134" t="s">
        <v>112</v>
      </c>
      <c r="U6" s="134" t="s">
        <v>113</v>
      </c>
      <c r="V6" s="134" t="s">
        <v>114</v>
      </c>
      <c r="W6" s="134" t="s">
        <v>115</v>
      </c>
      <c r="X6" s="134" t="s">
        <v>116</v>
      </c>
      <c r="Y6" s="134" t="s">
        <v>117</v>
      </c>
      <c r="Z6" s="134" t="s">
        <v>118</v>
      </c>
      <c r="AA6" s="134" t="s">
        <v>119</v>
      </c>
      <c r="AB6" s="134" t="s">
        <v>120</v>
      </c>
      <c r="AC6" s="134" t="s">
        <v>121</v>
      </c>
      <c r="AD6" s="134" t="s">
        <v>122</v>
      </c>
      <c r="AE6" s="134" t="s">
        <v>123</v>
      </c>
      <c r="AF6" s="134" t="s">
        <v>124</v>
      </c>
      <c r="AG6" s="134" t="s">
        <v>125</v>
      </c>
      <c r="AH6" s="134" t="s">
        <v>126</v>
      </c>
      <c r="AI6" s="134" t="s">
        <v>127</v>
      </c>
      <c r="AJ6" s="134" t="s">
        <v>128</v>
      </c>
      <c r="AK6" s="134" t="s">
        <v>129</v>
      </c>
      <c r="AL6" s="134" t="s">
        <v>130</v>
      </c>
      <c r="AM6" s="134" t="s">
        <v>131</v>
      </c>
      <c r="AN6" s="134" t="s">
        <v>132</v>
      </c>
      <c r="AO6" s="134" t="s">
        <v>133</v>
      </c>
      <c r="AP6" s="134" t="s">
        <v>134</v>
      </c>
      <c r="AQ6" s="134" t="s">
        <v>135</v>
      </c>
      <c r="AR6" s="134" t="s">
        <v>136</v>
      </c>
      <c r="AS6" s="134" t="s">
        <v>137</v>
      </c>
      <c r="AT6" s="134" t="s">
        <v>138</v>
      </c>
      <c r="AU6" s="134" t="s">
        <v>139</v>
      </c>
      <c r="AV6" s="134" t="s">
        <v>98</v>
      </c>
      <c r="AW6" s="134" t="s">
        <v>140</v>
      </c>
      <c r="AX6" s="134" t="s">
        <v>141</v>
      </c>
      <c r="AY6" s="134" t="s">
        <v>142</v>
      </c>
      <c r="AZ6" s="134" t="s">
        <v>99</v>
      </c>
      <c r="BA6" s="134" t="s">
        <v>236</v>
      </c>
      <c r="BB6" s="134" t="s">
        <v>237</v>
      </c>
    </row>
    <row r="7" spans="1:54">
      <c r="A7" s="53">
        <f>+A6+1</f>
        <v>2</v>
      </c>
      <c r="B7" s="3" t="s">
        <v>143</v>
      </c>
      <c r="C7" s="134"/>
      <c r="D7" s="134"/>
      <c r="E7" s="134"/>
      <c r="G7" s="53">
        <f>G6+1</f>
        <v>2</v>
      </c>
      <c r="H7" s="3" t="s">
        <v>143</v>
      </c>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row>
    <row r="8" spans="1:54">
      <c r="A8" s="53">
        <f t="shared" ref="A8:A29" si="0">+A7+1</f>
        <v>3</v>
      </c>
      <c r="C8" s="76"/>
      <c r="D8" s="76"/>
      <c r="E8" s="52"/>
      <c r="G8" s="53">
        <f t="shared" ref="G8:G29" si="1">G7+1</f>
        <v>3</v>
      </c>
    </row>
    <row r="9" spans="1:54">
      <c r="A9" s="53">
        <f t="shared" si="0"/>
        <v>4</v>
      </c>
      <c r="B9" s="6" t="s">
        <v>144</v>
      </c>
      <c r="C9" s="103">
        <f>+SUM(C11:C13)</f>
        <v>3190.6588166209945</v>
      </c>
      <c r="D9" s="103">
        <f t="shared" ref="D9" si="2">+SUM(D11:D13)</f>
        <v>2916.4973438536572</v>
      </c>
      <c r="E9" s="63">
        <f>D9/C9-1</f>
        <v>-8.5926289372952325E-2</v>
      </c>
      <c r="G9" s="53">
        <f t="shared" si="1"/>
        <v>4</v>
      </c>
      <c r="H9" s="6" t="s">
        <v>144</v>
      </c>
      <c r="I9" s="20">
        <f>SUM(I11:I13)</f>
        <v>2560.681023770358</v>
      </c>
      <c r="J9" s="20">
        <f t="shared" ref="J9:W9" si="3">SUM(J11:J13)</f>
        <v>3204.9189762296419</v>
      </c>
      <c r="K9" s="20">
        <f t="shared" si="3"/>
        <v>3160</v>
      </c>
      <c r="L9" s="20">
        <f t="shared" si="3"/>
        <v>3256.6374880461249</v>
      </c>
      <c r="M9" s="20">
        <f t="shared" si="3"/>
        <v>3108.5000952819764</v>
      </c>
      <c r="N9" s="20">
        <f t="shared" si="3"/>
        <v>3307.390542442422</v>
      </c>
      <c r="O9" s="20">
        <f t="shared" si="3"/>
        <v>3196.9342477735267</v>
      </c>
      <c r="P9" s="20">
        <f t="shared" si="3"/>
        <v>2884.5970569424348</v>
      </c>
      <c r="Q9" s="20">
        <f t="shared" si="3"/>
        <v>3159.4090628176209</v>
      </c>
      <c r="R9" s="20">
        <f t="shared" si="3"/>
        <v>3243.5380586726274</v>
      </c>
      <c r="S9" s="20">
        <f t="shared" si="3"/>
        <v>2781</v>
      </c>
      <c r="T9" s="20">
        <f t="shared" si="3"/>
        <v>2772.5335138224214</v>
      </c>
      <c r="U9" s="20">
        <f t="shared" si="3"/>
        <v>3110.0663316242094</v>
      </c>
      <c r="V9" s="20">
        <f t="shared" si="3"/>
        <v>3272.6612769021672</v>
      </c>
      <c r="W9" s="20">
        <f t="shared" si="3"/>
        <v>3026.6000000000004</v>
      </c>
      <c r="X9" s="20">
        <f t="shared" ref="X9:Y9" si="4">SUM(X11:X13)</f>
        <v>3018.3478999999998</v>
      </c>
      <c r="Y9" s="20">
        <f t="shared" si="4"/>
        <v>3407.8686676943248</v>
      </c>
      <c r="Z9" s="20">
        <f t="shared" ref="Z9" si="5">SUM(Z11:Z13)</f>
        <v>3424.7141303512244</v>
      </c>
      <c r="AA9" s="20">
        <f t="shared" ref="AA9:AN9" si="6">SUM(AA11:AA13)</f>
        <v>3024.3315116932845</v>
      </c>
      <c r="AB9" s="20">
        <f t="shared" si="6"/>
        <v>2985.7599999999998</v>
      </c>
      <c r="AC9" s="20">
        <f t="shared" si="6"/>
        <v>3258.472476178159</v>
      </c>
      <c r="AD9" s="20">
        <f t="shared" si="6"/>
        <v>3269.1335247947418</v>
      </c>
      <c r="AE9" s="20">
        <f t="shared" si="6"/>
        <v>2892.5098733903596</v>
      </c>
      <c r="AF9" s="20">
        <f t="shared" si="6"/>
        <v>2757.7442338119999</v>
      </c>
      <c r="AG9" s="20">
        <f t="shared" si="6"/>
        <v>2894.7184263164395</v>
      </c>
      <c r="AH9" s="20">
        <f t="shared" si="6"/>
        <v>3020.1895664713779</v>
      </c>
      <c r="AI9" s="20">
        <f t="shared" si="6"/>
        <v>3453.1873442230267</v>
      </c>
      <c r="AJ9" s="20">
        <f t="shared" si="6"/>
        <v>2677.069158441248</v>
      </c>
      <c r="AK9" s="20">
        <f t="shared" si="6"/>
        <v>2521.9834357051286</v>
      </c>
      <c r="AL9" s="20">
        <f t="shared" si="6"/>
        <v>3075.8702213144702</v>
      </c>
      <c r="AM9" s="20">
        <f t="shared" si="6"/>
        <v>2756.2184222706778</v>
      </c>
      <c r="AN9" s="20">
        <f t="shared" si="6"/>
        <v>2582.3047501758483</v>
      </c>
      <c r="AO9" s="20">
        <f>SUM(AO11:AO13)</f>
        <v>3189.7721410092995</v>
      </c>
      <c r="AP9" s="20">
        <v>3549.1337173741799</v>
      </c>
      <c r="AQ9" s="69">
        <f>+SUM(AQ11:AQ13)</f>
        <v>3211.2314003461747</v>
      </c>
      <c r="AR9" s="69">
        <f>+SUM(AR11:AR13)</f>
        <v>3382.8923532927879</v>
      </c>
      <c r="AS9" s="69">
        <f t="shared" ref="AS9:AZ9" si="7">+SUM(AS11:AS13)</f>
        <v>3362.9314742877596</v>
      </c>
      <c r="AT9" s="69">
        <f t="shared" si="7"/>
        <v>3441.900620641658</v>
      </c>
      <c r="AU9" s="69">
        <f t="shared" si="7"/>
        <v>3223.210721393848</v>
      </c>
      <c r="AV9" s="69">
        <f t="shared" si="7"/>
        <v>2945.9252992253309</v>
      </c>
      <c r="AW9" s="69">
        <f t="shared" si="7"/>
        <v>3131.3999999999996</v>
      </c>
      <c r="AX9" s="69">
        <f t="shared" si="7"/>
        <v>3190.6588166209945</v>
      </c>
      <c r="AY9" s="69">
        <f t="shared" si="7"/>
        <v>2826.3999999999996</v>
      </c>
      <c r="AZ9" s="69">
        <f t="shared" si="7"/>
        <v>2790.6629958363555</v>
      </c>
      <c r="BA9" s="69">
        <f t="shared" ref="BA9:BB9" si="8">+SUM(BA11:BA13)</f>
        <v>2799.5930479626281</v>
      </c>
      <c r="BB9" s="69">
        <f t="shared" si="8"/>
        <v>2916.4973438536572</v>
      </c>
    </row>
    <row r="10" spans="1:54" ht="5.25" customHeight="1">
      <c r="A10" s="53">
        <f t="shared" si="0"/>
        <v>5</v>
      </c>
      <c r="C10" s="76"/>
      <c r="D10" s="76"/>
      <c r="E10" s="76"/>
      <c r="G10" s="53">
        <f t="shared" si="1"/>
        <v>5</v>
      </c>
    </row>
    <row r="11" spans="1:54">
      <c r="A11" s="53">
        <f t="shared" si="0"/>
        <v>6</v>
      </c>
      <c r="B11" s="5" t="s">
        <v>145</v>
      </c>
      <c r="C11" s="21">
        <f>HLOOKUP($C$6,$H$6:$BI$29,$G11,FALSE)</f>
        <v>267.8</v>
      </c>
      <c r="D11" s="21">
        <f>HLOOKUP($D$6,$H$6:$BI$29,$G11,FALSE)</f>
        <v>403.69397733288395</v>
      </c>
      <c r="E11" s="44">
        <f>+D11/C11-1</f>
        <v>0.50744577047380113</v>
      </c>
      <c r="G11" s="53">
        <f t="shared" si="1"/>
        <v>6</v>
      </c>
      <c r="H11" s="5" t="s">
        <v>145</v>
      </c>
      <c r="I11" s="21">
        <v>1109</v>
      </c>
      <c r="J11" s="21">
        <v>1621</v>
      </c>
      <c r="K11" s="21">
        <v>1816</v>
      </c>
      <c r="L11" s="21">
        <v>2109</v>
      </c>
      <c r="M11" s="21">
        <v>1733.6471680194898</v>
      </c>
      <c r="N11" s="21">
        <v>1698.807051092178</v>
      </c>
      <c r="O11" s="21">
        <v>1635.6751473021668</v>
      </c>
      <c r="P11" s="21">
        <v>1556.7919803760619</v>
      </c>
      <c r="Q11" s="21">
        <v>1644.6652440438811</v>
      </c>
      <c r="R11" s="21">
        <v>1622.1834633647968</v>
      </c>
      <c r="S11" s="21">
        <v>1621</v>
      </c>
      <c r="T11" s="21">
        <v>1645.6228534367942</v>
      </c>
      <c r="U11" s="21">
        <v>1654.636696809614</v>
      </c>
      <c r="V11" s="21">
        <v>1578.8122475593327</v>
      </c>
      <c r="W11" s="21">
        <v>1579.9</v>
      </c>
      <c r="X11" s="21">
        <v>1489.7</v>
      </c>
      <c r="Y11" s="21">
        <v>1416.5104173471059</v>
      </c>
      <c r="Z11" s="21">
        <v>1376.7867522959921</v>
      </c>
      <c r="AA11" s="21">
        <v>1368.2160000000001</v>
      </c>
      <c r="AB11" s="21">
        <v>1255.8720000000001</v>
      </c>
      <c r="AC11" s="21">
        <v>1086.4614696775211</v>
      </c>
      <c r="AD11" s="21">
        <v>1111.3063159999999</v>
      </c>
      <c r="AE11" s="21">
        <v>1125.5098733903596</v>
      </c>
      <c r="AF11" s="21">
        <v>1024.871184053</v>
      </c>
      <c r="AG11" s="21">
        <v>788.30658700000004</v>
      </c>
      <c r="AH11" s="21">
        <v>783.91245300000003</v>
      </c>
      <c r="AI11" s="21">
        <v>827.47447275453328</v>
      </c>
      <c r="AJ11" s="21">
        <v>753.238795281791</v>
      </c>
      <c r="AK11" s="21">
        <v>727.339743</v>
      </c>
      <c r="AL11" s="21">
        <v>789.44461200000001</v>
      </c>
      <c r="AM11" s="21">
        <v>845.33437100000003</v>
      </c>
      <c r="AN11" s="21">
        <v>741.87227310000003</v>
      </c>
      <c r="AO11" s="21">
        <v>549.42374394000001</v>
      </c>
      <c r="AP11" s="21">
        <v>621.5</v>
      </c>
      <c r="AQ11" s="21">
        <v>658.12348699999995</v>
      </c>
      <c r="AR11" s="21">
        <v>580.798226</v>
      </c>
      <c r="AS11" s="21">
        <v>620.50865699999997</v>
      </c>
      <c r="AT11" s="21">
        <v>656.82865500000003</v>
      </c>
      <c r="AU11" s="21">
        <v>694.58223799999996</v>
      </c>
      <c r="AV11" s="21">
        <v>608.15510398702861</v>
      </c>
      <c r="AW11" s="21">
        <v>244.6</v>
      </c>
      <c r="AX11" s="21">
        <v>267.8</v>
      </c>
      <c r="AY11" s="21">
        <v>257.2</v>
      </c>
      <c r="AZ11" s="21">
        <v>313.03416386817196</v>
      </c>
      <c r="BA11" s="21">
        <v>392.27714667800001</v>
      </c>
      <c r="BB11" s="21">
        <v>403.69397733288395</v>
      </c>
    </row>
    <row r="12" spans="1:54">
      <c r="A12" s="53">
        <f t="shared" si="0"/>
        <v>7</v>
      </c>
      <c r="B12" s="5" t="s">
        <v>146</v>
      </c>
      <c r="C12" s="21">
        <f t="shared" ref="C12:C29" si="9">HLOOKUP($C$6,$H$6:$BI$29,$G12,FALSE)</f>
        <v>2248.4588166209942</v>
      </c>
      <c r="D12" s="21">
        <f t="shared" ref="D12:D29" si="10">HLOOKUP($D$6,$H$6:$BI$29,$G12,FALSE)</f>
        <v>2512.8033665207731</v>
      </c>
      <c r="E12" s="44">
        <f t="shared" ref="E12" si="11">+D12/C12-1</f>
        <v>0.11756699653366942</v>
      </c>
      <c r="G12" s="53">
        <f t="shared" si="1"/>
        <v>7</v>
      </c>
      <c r="H12" s="5" t="s">
        <v>146</v>
      </c>
      <c r="I12" s="21">
        <v>1232.7135073230352</v>
      </c>
      <c r="J12" s="21">
        <v>1159.3864926769647</v>
      </c>
      <c r="K12" s="21">
        <v>1197</v>
      </c>
      <c r="L12" s="21">
        <v>1147.6374880461249</v>
      </c>
      <c r="M12" s="21">
        <v>1047.8529272624869</v>
      </c>
      <c r="N12" s="21">
        <v>1124.583491350244</v>
      </c>
      <c r="O12" s="21">
        <v>1105.54281147136</v>
      </c>
      <c r="P12" s="21">
        <v>1150.043912020727</v>
      </c>
      <c r="Q12" s="21">
        <v>1111.9510521693539</v>
      </c>
      <c r="R12" s="21">
        <v>1108.645275548731</v>
      </c>
      <c r="S12" s="21">
        <v>1160</v>
      </c>
      <c r="T12" s="21">
        <v>1126.9106603856271</v>
      </c>
      <c r="U12" s="21">
        <v>1099.855435357053</v>
      </c>
      <c r="V12" s="21">
        <v>1217.4004521789029</v>
      </c>
      <c r="W12" s="21">
        <v>1230.9000000000001</v>
      </c>
      <c r="X12" s="21">
        <v>1183.54</v>
      </c>
      <c r="Y12" s="21">
        <v>1466.8419977512128</v>
      </c>
      <c r="Z12" s="21">
        <v>1530.5063780552321</v>
      </c>
      <c r="AA12" s="21">
        <v>1541.9482833212292</v>
      </c>
      <c r="AB12" s="21">
        <v>1573.4090000000001</v>
      </c>
      <c r="AC12" s="21">
        <v>1492.418422</v>
      </c>
      <c r="AD12" s="21">
        <v>1592.1897899999999</v>
      </c>
      <c r="AE12" s="21">
        <v>1736</v>
      </c>
      <c r="AF12" s="21">
        <v>1732.873049759</v>
      </c>
      <c r="AG12" s="21">
        <v>1706.4336673559997</v>
      </c>
      <c r="AH12" s="21">
        <v>1735.752988406</v>
      </c>
      <c r="AI12" s="21">
        <v>1836.2943763810001</v>
      </c>
      <c r="AJ12" s="21">
        <v>1888.6207892510001</v>
      </c>
      <c r="AK12" s="21">
        <v>1707.3468317219999</v>
      </c>
      <c r="AL12" s="21">
        <v>1664.834742816</v>
      </c>
      <c r="AM12" s="21">
        <v>1657.2472537999997</v>
      </c>
      <c r="AN12" s="21">
        <v>1660.6383312630001</v>
      </c>
      <c r="AO12" s="21">
        <v>2400.3483970692996</v>
      </c>
      <c r="AP12" s="21">
        <v>2392.6337173741799</v>
      </c>
      <c r="AQ12" s="21">
        <v>2322.5894881851978</v>
      </c>
      <c r="AR12" s="21">
        <v>2353.6511074476302</v>
      </c>
      <c r="AS12" s="21">
        <v>2437.9651715052864</v>
      </c>
      <c r="AT12" s="21">
        <v>2324.8149741464308</v>
      </c>
      <c r="AU12" s="21">
        <v>2278.8760803244145</v>
      </c>
      <c r="AV12" s="21">
        <v>2302.6114499313521</v>
      </c>
      <c r="AW12" s="21">
        <v>2348</v>
      </c>
      <c r="AX12" s="21">
        <v>2248.4588166209942</v>
      </c>
      <c r="AY12" s="21">
        <v>2262.1999999999998</v>
      </c>
      <c r="AZ12" s="21">
        <v>2362.5851798410872</v>
      </c>
      <c r="BA12" s="21">
        <v>2407.3159012846281</v>
      </c>
      <c r="BB12" s="21">
        <v>2512.8033665207731</v>
      </c>
    </row>
    <row r="13" spans="1:54">
      <c r="A13" s="53">
        <f t="shared" si="0"/>
        <v>8</v>
      </c>
      <c r="B13" s="5" t="s">
        <v>147</v>
      </c>
      <c r="C13" s="54">
        <f t="shared" si="9"/>
        <v>674.4</v>
      </c>
      <c r="D13" s="54">
        <f t="shared" si="10"/>
        <v>0</v>
      </c>
      <c r="E13" s="44" t="s">
        <v>148</v>
      </c>
      <c r="G13" s="53">
        <f t="shared" si="1"/>
        <v>8</v>
      </c>
      <c r="H13" s="5" t="s">
        <v>147</v>
      </c>
      <c r="I13" s="21">
        <v>218.96751644732302</v>
      </c>
      <c r="J13" s="21">
        <v>424.53248355267698</v>
      </c>
      <c r="K13" s="21">
        <v>147</v>
      </c>
      <c r="L13" s="26">
        <v>0</v>
      </c>
      <c r="M13" s="21">
        <v>327</v>
      </c>
      <c r="N13" s="21">
        <v>484</v>
      </c>
      <c r="O13" s="21">
        <v>455.71628899999996</v>
      </c>
      <c r="P13" s="21">
        <v>177.76116454564578</v>
      </c>
      <c r="Q13" s="21">
        <v>402.79276660438609</v>
      </c>
      <c r="R13" s="21">
        <v>512.70931975909969</v>
      </c>
      <c r="S13" s="26">
        <v>0</v>
      </c>
      <c r="T13" s="26">
        <v>0</v>
      </c>
      <c r="U13" s="21">
        <v>355.57419945754248</v>
      </c>
      <c r="V13" s="21">
        <v>476.44857716393153</v>
      </c>
      <c r="W13" s="21">
        <v>215.8</v>
      </c>
      <c r="X13" s="21">
        <v>345.10789999999997</v>
      </c>
      <c r="Y13" s="21">
        <v>524.51625259600632</v>
      </c>
      <c r="Z13" s="21">
        <v>517.42100000000005</v>
      </c>
      <c r="AA13" s="21">
        <v>114.16722837205532</v>
      </c>
      <c r="AB13" s="21">
        <v>156.47899999999998</v>
      </c>
      <c r="AC13" s="21">
        <v>679.59258450063749</v>
      </c>
      <c r="AD13" s="21">
        <v>565.63741879474242</v>
      </c>
      <c r="AE13" s="21">
        <v>31</v>
      </c>
      <c r="AF13" s="54">
        <v>0</v>
      </c>
      <c r="AG13" s="54">
        <v>399.97817196043991</v>
      </c>
      <c r="AH13" s="54">
        <v>500.52412506537814</v>
      </c>
      <c r="AI13" s="54">
        <v>789.41849508749317</v>
      </c>
      <c r="AJ13" s="54">
        <v>35.209573908457287</v>
      </c>
      <c r="AK13" s="54">
        <v>87.296860983128909</v>
      </c>
      <c r="AL13" s="54">
        <v>621.59086649847029</v>
      </c>
      <c r="AM13" s="54">
        <v>253.63679747067806</v>
      </c>
      <c r="AN13" s="54">
        <v>179.794145812848</v>
      </c>
      <c r="AO13" s="54">
        <v>240</v>
      </c>
      <c r="AP13" s="21">
        <v>535</v>
      </c>
      <c r="AQ13" s="54">
        <v>230.51842516097702</v>
      </c>
      <c r="AR13" s="54">
        <v>448.44301984515789</v>
      </c>
      <c r="AS13" s="54">
        <v>304.45764578247338</v>
      </c>
      <c r="AT13" s="54">
        <v>460.25699149522723</v>
      </c>
      <c r="AU13" s="54">
        <v>249.75240306943329</v>
      </c>
      <c r="AV13" s="54">
        <v>35.158745306949982</v>
      </c>
      <c r="AW13" s="54">
        <v>538.79999999999995</v>
      </c>
      <c r="AX13" s="54">
        <v>674.4</v>
      </c>
      <c r="AY13" s="54">
        <v>307</v>
      </c>
      <c r="AZ13" s="54">
        <v>115.04365212709637</v>
      </c>
      <c r="BA13" s="54">
        <v>0</v>
      </c>
      <c r="BB13" s="54">
        <v>0</v>
      </c>
    </row>
    <row r="14" spans="1:54" ht="5.25" customHeight="1">
      <c r="A14" s="53">
        <f t="shared" si="0"/>
        <v>9</v>
      </c>
      <c r="C14" s="76"/>
      <c r="D14" s="76"/>
      <c r="E14" s="76"/>
      <c r="G14" s="53">
        <f t="shared" si="1"/>
        <v>9</v>
      </c>
    </row>
    <row r="15" spans="1:54">
      <c r="A15" s="53">
        <f t="shared" si="0"/>
        <v>10</v>
      </c>
      <c r="B15" s="5" t="s">
        <v>149</v>
      </c>
      <c r="C15" s="21">
        <f t="shared" si="9"/>
        <v>1258.0520254056526</v>
      </c>
      <c r="D15" s="21">
        <f t="shared" si="10"/>
        <v>1272.0537636483045</v>
      </c>
      <c r="E15" s="44">
        <f>+D15/C15-1</f>
        <v>1.1129697309725461E-2</v>
      </c>
      <c r="G15" s="53">
        <f t="shared" si="1"/>
        <v>10</v>
      </c>
      <c r="H15" s="5" t="s">
        <v>149</v>
      </c>
      <c r="I15" s="21">
        <v>1750</v>
      </c>
      <c r="J15" s="21">
        <v>1676.5379</v>
      </c>
      <c r="K15" s="21">
        <v>1717</v>
      </c>
      <c r="L15" s="21">
        <v>1658.537353248</v>
      </c>
      <c r="M15" s="21">
        <v>1593</v>
      </c>
      <c r="N15" s="21">
        <v>1584.2553333333301</v>
      </c>
      <c r="O15" s="21">
        <v>1585</v>
      </c>
      <c r="P15" s="21">
        <v>1509.0192104540001</v>
      </c>
      <c r="Q15" s="21">
        <v>1516.2572692093333</v>
      </c>
      <c r="R15" s="21">
        <v>1586.312932267</v>
      </c>
      <c r="S15" s="21">
        <v>1611</v>
      </c>
      <c r="T15" s="21">
        <v>1605.0969330646667</v>
      </c>
      <c r="U15" s="21">
        <v>1608.011451372</v>
      </c>
      <c r="V15" s="21">
        <v>1580.915037662</v>
      </c>
      <c r="W15" s="21">
        <v>1615</v>
      </c>
      <c r="X15" s="21">
        <v>1629.6032617540002</v>
      </c>
      <c r="Y15" s="21">
        <v>1632.7914912306667</v>
      </c>
      <c r="Z15" s="21">
        <v>1609.7</v>
      </c>
      <c r="AA15" s="21">
        <v>1656.6028448940003</v>
      </c>
      <c r="AB15" s="21">
        <v>1663.0676706436664</v>
      </c>
      <c r="AC15" s="21">
        <v>1664</v>
      </c>
      <c r="AD15" s="21">
        <v>1574.1138055772778</v>
      </c>
      <c r="AE15" s="21">
        <v>1578.1126254887251</v>
      </c>
      <c r="AF15" s="21">
        <v>1558</v>
      </c>
      <c r="AG15" s="21">
        <v>1389.7428849012347</v>
      </c>
      <c r="AH15" s="21">
        <v>1439.5195898763534</v>
      </c>
      <c r="AI15" s="21">
        <v>1486.0694283366595</v>
      </c>
      <c r="AJ15" s="21">
        <v>1469.0334855196272</v>
      </c>
      <c r="AK15" s="21">
        <v>1323.0963587452404</v>
      </c>
      <c r="AL15" s="21">
        <v>1323.2185192444949</v>
      </c>
      <c r="AM15" s="21">
        <v>1286.3544123736108</v>
      </c>
      <c r="AN15" s="21">
        <v>1278.6488390333336</v>
      </c>
      <c r="AO15" s="21">
        <v>1463.4840641741039</v>
      </c>
      <c r="AP15" s="21">
        <v>1551.5266405666669</v>
      </c>
      <c r="AQ15" s="21">
        <v>1626.2785669833331</v>
      </c>
      <c r="AR15" s="21">
        <v>1550.5775907120942</v>
      </c>
      <c r="AS15" s="21">
        <v>1628.6184444444445</v>
      </c>
      <c r="AT15" s="21">
        <v>1622.8204694444448</v>
      </c>
      <c r="AU15" s="21">
        <v>1625.071102111111</v>
      </c>
      <c r="AV15" s="21">
        <v>1625.9696393333334</v>
      </c>
      <c r="AW15" s="21">
        <v>1258.0520254056526</v>
      </c>
      <c r="AX15" s="21">
        <v>1258.0520254056526</v>
      </c>
      <c r="AY15" s="21">
        <v>1258.0520254056526</v>
      </c>
      <c r="AZ15" s="21">
        <v>1330.6205145816523</v>
      </c>
      <c r="BA15" s="21">
        <v>1516.7300672162057</v>
      </c>
      <c r="BB15" s="21">
        <v>1272.0537636483045</v>
      </c>
    </row>
    <row r="16" spans="1:54" ht="10.5" customHeight="1">
      <c r="A16" s="53">
        <f t="shared" si="0"/>
        <v>11</v>
      </c>
      <c r="C16" s="76"/>
      <c r="D16" s="76"/>
      <c r="E16" s="76"/>
      <c r="G16" s="53">
        <f t="shared" si="1"/>
        <v>11</v>
      </c>
    </row>
    <row r="17" spans="1:61">
      <c r="A17" s="53">
        <f t="shared" si="0"/>
        <v>12</v>
      </c>
      <c r="B17" s="6" t="s">
        <v>150</v>
      </c>
      <c r="C17" s="104">
        <f t="shared" si="9"/>
        <v>3254.5319199999999</v>
      </c>
      <c r="D17" s="104">
        <f>HLOOKUP($D$6,$H$6:$BI$29,$G17,FALSE)</f>
        <v>2756.4126987636218</v>
      </c>
      <c r="E17" s="63">
        <f>D17/C17-1</f>
        <v>-0.15305402849955085</v>
      </c>
      <c r="G17" s="53">
        <f t="shared" si="1"/>
        <v>12</v>
      </c>
      <c r="H17" s="6" t="s">
        <v>150</v>
      </c>
      <c r="I17" s="20">
        <f>+I19+I20+I24</f>
        <v>3267.9317000000001</v>
      </c>
      <c r="J17" s="20">
        <f t="shared" ref="J17:Y17" si="12">+J19+J20+J24</f>
        <v>3498.9682999999995</v>
      </c>
      <c r="K17" s="20">
        <f t="shared" si="12"/>
        <v>3240</v>
      </c>
      <c r="L17" s="20">
        <f t="shared" si="12"/>
        <v>2855.1034</v>
      </c>
      <c r="M17" s="20">
        <f t="shared" si="12"/>
        <v>3195.3278</v>
      </c>
      <c r="N17" s="20">
        <f t="shared" si="12"/>
        <v>3388.34238</v>
      </c>
      <c r="O17" s="20">
        <f t="shared" si="12"/>
        <v>3270.1603</v>
      </c>
      <c r="P17" s="20">
        <f t="shared" si="12"/>
        <v>2792.3428942799992</v>
      </c>
      <c r="Q17" s="20">
        <f t="shared" si="12"/>
        <v>3221.5743400000001</v>
      </c>
      <c r="R17" s="20">
        <f t="shared" si="12"/>
        <v>3312.9959699999995</v>
      </c>
      <c r="S17" s="20">
        <f t="shared" si="12"/>
        <v>2412</v>
      </c>
      <c r="T17" s="20">
        <f t="shared" si="12"/>
        <v>2329.3105321120001</v>
      </c>
      <c r="U17" s="20">
        <f>+U19+U20+U24</f>
        <v>3191.2302385571666</v>
      </c>
      <c r="V17" s="20">
        <f t="shared" si="12"/>
        <v>3386.4810116580002</v>
      </c>
      <c r="W17" s="20">
        <f t="shared" si="12"/>
        <v>3058.0208900000002</v>
      </c>
      <c r="X17" s="20">
        <f t="shared" si="12"/>
        <v>3079.87891455</v>
      </c>
      <c r="Y17" s="20">
        <f t="shared" si="12"/>
        <v>3455.3460179723684</v>
      </c>
      <c r="Z17" s="20">
        <f t="shared" ref="Z17:AD17" si="13">+Z19+Z20+Z24</f>
        <v>3514.8398608767438</v>
      </c>
      <c r="AA17" s="20">
        <f t="shared" si="13"/>
        <v>3026.0395302917295</v>
      </c>
      <c r="AB17" s="20">
        <f t="shared" si="13"/>
        <v>3009.206121845772</v>
      </c>
      <c r="AC17" s="20">
        <f t="shared" si="13"/>
        <v>3334.4824444330111</v>
      </c>
      <c r="AD17" s="20">
        <f t="shared" si="13"/>
        <v>3334.3651071043373</v>
      </c>
      <c r="AE17" s="20">
        <f t="shared" ref="AE17:AO17" si="14">+AE19+AE20+AE24</f>
        <v>2589.5097437221884</v>
      </c>
      <c r="AF17" s="20">
        <f t="shared" si="14"/>
        <v>2668.8125995100431</v>
      </c>
      <c r="AG17" s="20">
        <f t="shared" si="14"/>
        <v>2984.4361867917678</v>
      </c>
      <c r="AH17" s="20">
        <f t="shared" si="14"/>
        <v>3113.9792090261044</v>
      </c>
      <c r="AI17" s="20">
        <f t="shared" si="14"/>
        <v>3546.1705021388707</v>
      </c>
      <c r="AJ17" s="20">
        <f t="shared" si="14"/>
        <v>2458.4844822617697</v>
      </c>
      <c r="AK17" s="20">
        <f t="shared" si="14"/>
        <v>2427.5366890469759</v>
      </c>
      <c r="AL17" s="20">
        <f t="shared" si="14"/>
        <v>3178.2279143636388</v>
      </c>
      <c r="AM17" s="20">
        <f t="shared" si="14"/>
        <v>2848.5002574529099</v>
      </c>
      <c r="AN17" s="20">
        <f t="shared" si="14"/>
        <v>2539.9450362503558</v>
      </c>
      <c r="AO17" s="20">
        <f t="shared" si="14"/>
        <v>3250.2045634470992</v>
      </c>
      <c r="AP17" s="20">
        <f>+AP19+AP20+AP24</f>
        <v>3622.6417945302269</v>
      </c>
      <c r="AQ17" s="20">
        <v>3245.4704948692488</v>
      </c>
      <c r="AR17" s="20">
        <f>+AR19+AR20+AR24</f>
        <v>3451.635545530441</v>
      </c>
      <c r="AS17" s="20">
        <v>3445.2580091795307</v>
      </c>
      <c r="AT17" s="20">
        <v>3514</v>
      </c>
      <c r="AU17" s="20">
        <v>3236.9239240970542</v>
      </c>
      <c r="AV17" s="20">
        <f>+AV19+AV20+AV24</f>
        <v>2779.3657215288804</v>
      </c>
      <c r="AW17" s="20">
        <f>+AW19+AW20+AW24</f>
        <v>3224</v>
      </c>
      <c r="AX17" s="20">
        <f>+AX19+AX20+AX24</f>
        <v>3254.5319199999999</v>
      </c>
      <c r="AY17" s="20">
        <f>+AY19+AY20+AY24</f>
        <v>2828.9280849999996</v>
      </c>
      <c r="AZ17" s="20">
        <f>+AZ19+AZ20+AZ24</f>
        <v>2805.8860224998798</v>
      </c>
      <c r="BA17" s="20">
        <f t="shared" ref="BA17:BB17" si="15">+BA19+BA20+BA24</f>
        <v>2627.110336933687</v>
      </c>
      <c r="BB17" s="20">
        <f t="shared" si="15"/>
        <v>2756.4126987636218</v>
      </c>
      <c r="BD17" s="22"/>
      <c r="BE17" s="22"/>
      <c r="BF17" s="22"/>
      <c r="BG17" s="22"/>
      <c r="BH17" s="22"/>
      <c r="BI17" s="66"/>
    </row>
    <row r="18" spans="1:61" ht="5.25" customHeight="1">
      <c r="A18" s="53">
        <f t="shared" si="0"/>
        <v>13</v>
      </c>
      <c r="C18" s="76"/>
      <c r="D18" s="76"/>
      <c r="E18" s="76"/>
      <c r="G18" s="53">
        <f t="shared" si="1"/>
        <v>13</v>
      </c>
    </row>
    <row r="19" spans="1:61">
      <c r="A19" s="53">
        <f t="shared" si="0"/>
        <v>14</v>
      </c>
      <c r="B19" s="24" t="s">
        <v>151</v>
      </c>
      <c r="C19" s="25">
        <f t="shared" si="9"/>
        <v>1638.6</v>
      </c>
      <c r="D19" s="25">
        <f t="shared" si="10"/>
        <v>1373.7098999999998</v>
      </c>
      <c r="E19" s="90">
        <f>+D19/C19-1</f>
        <v>-0.16165635298425496</v>
      </c>
      <c r="G19" s="53">
        <f t="shared" si="1"/>
        <v>14</v>
      </c>
      <c r="H19" s="24" t="s">
        <v>151</v>
      </c>
      <c r="I19" s="25">
        <v>1108.7977000000001</v>
      </c>
      <c r="J19" s="25">
        <v>1620.9022999999997</v>
      </c>
      <c r="K19" s="25">
        <v>1816</v>
      </c>
      <c r="L19" s="25">
        <v>2109.0504000000001</v>
      </c>
      <c r="M19" s="25">
        <v>1097.7067999999999</v>
      </c>
      <c r="N19" s="25">
        <v>1357.50828</v>
      </c>
      <c r="O19" s="25">
        <v>1723.634</v>
      </c>
      <c r="P19" s="25">
        <v>2285.4995499999995</v>
      </c>
      <c r="Q19" s="25">
        <v>1287.5566399999998</v>
      </c>
      <c r="R19" s="25">
        <v>1338.0191999999997</v>
      </c>
      <c r="S19" s="25">
        <v>988</v>
      </c>
      <c r="T19" s="25">
        <v>1153.0769</v>
      </c>
      <c r="U19" s="25">
        <v>1089.2442348041668</v>
      </c>
      <c r="V19" s="25">
        <v>1248.1063999999999</v>
      </c>
      <c r="W19" s="25">
        <v>1403.1208899999999</v>
      </c>
      <c r="X19" s="25">
        <v>2156.30267</v>
      </c>
      <c r="Y19" s="25">
        <v>1409.2049400000001</v>
      </c>
      <c r="Z19" s="25">
        <v>1433.3703999999998</v>
      </c>
      <c r="AA19" s="25">
        <v>1348.5269000000001</v>
      </c>
      <c r="AB19" s="25">
        <v>2120.86</v>
      </c>
      <c r="AC19" s="25">
        <v>1194.2386000000001</v>
      </c>
      <c r="AD19" s="25">
        <v>1371.5127</v>
      </c>
      <c r="AE19" s="25">
        <v>1316.77403</v>
      </c>
      <c r="AF19" s="25">
        <v>1236.0530999999996</v>
      </c>
      <c r="AG19" s="25">
        <v>1119.644</v>
      </c>
      <c r="AH19" s="25">
        <v>981.54162999999994</v>
      </c>
      <c r="AI19" s="25">
        <v>1529.7404300000001</v>
      </c>
      <c r="AJ19" s="25">
        <v>1965.3616099999999</v>
      </c>
      <c r="AK19" s="25">
        <v>887.18420000000015</v>
      </c>
      <c r="AL19" s="25">
        <v>1155.0339199999999</v>
      </c>
      <c r="AM19" s="25">
        <v>899.10449999999992</v>
      </c>
      <c r="AN19" s="25">
        <v>963.90317000000005</v>
      </c>
      <c r="AO19" s="25">
        <v>804.20897000000002</v>
      </c>
      <c r="AP19" s="25">
        <v>1001.4244000000001</v>
      </c>
      <c r="AQ19" s="25">
        <v>1654.1555000000001</v>
      </c>
      <c r="AR19" s="25">
        <v>1703.0052000000001</v>
      </c>
      <c r="AS19" s="25">
        <v>955.55370000000016</v>
      </c>
      <c r="AT19" s="25">
        <v>1140.1500000000001</v>
      </c>
      <c r="AU19" s="25">
        <v>2427.6502</v>
      </c>
      <c r="AV19" s="25">
        <v>2349.1103000000003</v>
      </c>
      <c r="AW19" s="25">
        <v>1624</v>
      </c>
      <c r="AX19" s="25">
        <v>1638.6</v>
      </c>
      <c r="AY19" s="25">
        <v>1915.178339999999</v>
      </c>
      <c r="AZ19" s="25">
        <v>2098.0591000000004</v>
      </c>
      <c r="BA19" s="25">
        <v>1088.1048999999994</v>
      </c>
      <c r="BB19" s="25">
        <v>1373.7098999999998</v>
      </c>
    </row>
    <row r="20" spans="1:61">
      <c r="A20" s="53">
        <f t="shared" si="0"/>
        <v>15</v>
      </c>
      <c r="B20" s="24" t="s">
        <v>32</v>
      </c>
      <c r="C20" s="25">
        <f t="shared" si="9"/>
        <v>1439.8689999999999</v>
      </c>
      <c r="D20" s="25">
        <f>HLOOKUP($D$6,$H$6:$BI$29,$G20,FALSE)</f>
        <v>864.55800000000022</v>
      </c>
      <c r="E20" s="90">
        <f>+D20/C20-1</f>
        <v>-0.39955787644570429</v>
      </c>
      <c r="G20" s="53">
        <f t="shared" si="1"/>
        <v>15</v>
      </c>
      <c r="H20" s="24" t="s">
        <v>32</v>
      </c>
      <c r="I20" s="25">
        <f>SUM(I21:I23)</f>
        <v>2159.134</v>
      </c>
      <c r="J20" s="25">
        <f t="shared" ref="J20:Y20" si="16">SUM(J21:J23)</f>
        <v>1878.0659999999998</v>
      </c>
      <c r="K20" s="25">
        <f t="shared" si="16"/>
        <v>1424</v>
      </c>
      <c r="L20" s="25">
        <f t="shared" si="16"/>
        <v>719.053</v>
      </c>
      <c r="M20" s="25">
        <f t="shared" si="16"/>
        <v>2079.7550000000001</v>
      </c>
      <c r="N20" s="25">
        <f t="shared" si="16"/>
        <v>2003.309</v>
      </c>
      <c r="O20" s="25">
        <f t="shared" si="16"/>
        <v>1519.4349999999999</v>
      </c>
      <c r="P20" s="25">
        <f t="shared" si="16"/>
        <v>467.988</v>
      </c>
      <c r="Q20" s="25">
        <f t="shared" si="16"/>
        <v>1915.18</v>
      </c>
      <c r="R20" s="25">
        <f t="shared" si="16"/>
        <v>1956.502</v>
      </c>
      <c r="S20" s="25">
        <f t="shared" si="16"/>
        <v>1396</v>
      </c>
      <c r="T20" s="25">
        <f t="shared" si="16"/>
        <v>1146.3820000000001</v>
      </c>
      <c r="U20" s="25">
        <f t="shared" si="16"/>
        <v>2080.1379999999999</v>
      </c>
      <c r="V20" s="25">
        <f t="shared" si="16"/>
        <v>2109.0740000000001</v>
      </c>
      <c r="W20" s="25">
        <f t="shared" si="16"/>
        <v>1625.5</v>
      </c>
      <c r="X20" s="25">
        <f t="shared" si="16"/>
        <v>887.74</v>
      </c>
      <c r="Y20" s="25">
        <f t="shared" si="16"/>
        <v>2019.9259999999999</v>
      </c>
      <c r="Z20" s="25">
        <f t="shared" ref="Z20:AE20" si="17">SUM(Z21:Z23)</f>
        <v>2052.0571999999997</v>
      </c>
      <c r="AA20" s="25">
        <f t="shared" si="17"/>
        <v>1640.9929999999999</v>
      </c>
      <c r="AB20" s="25">
        <f t="shared" si="17"/>
        <v>844.64</v>
      </c>
      <c r="AC20" s="25">
        <f t="shared" si="17"/>
        <v>2113.667219685</v>
      </c>
      <c r="AD20" s="25">
        <f t="shared" si="17"/>
        <v>1902.7019399999999</v>
      </c>
      <c r="AE20" s="25">
        <f t="shared" si="17"/>
        <v>1164.2910000000002</v>
      </c>
      <c r="AF20" s="25">
        <f t="shared" ref="AF20:AL20" si="18">SUM(AF21:AF23)</f>
        <v>1327.2567999999999</v>
      </c>
      <c r="AG20" s="25">
        <f t="shared" si="18"/>
        <v>1838.4737999999998</v>
      </c>
      <c r="AH20" s="25">
        <f t="shared" si="18"/>
        <v>2108.0429999999997</v>
      </c>
      <c r="AI20" s="25">
        <f t="shared" si="18"/>
        <v>1977.8985600000001</v>
      </c>
      <c r="AJ20" s="25">
        <f t="shared" si="18"/>
        <v>450.48900000000003</v>
      </c>
      <c r="AK20" s="25">
        <f t="shared" si="18"/>
        <v>1512.6569999999999</v>
      </c>
      <c r="AL20" s="25">
        <f t="shared" si="18"/>
        <v>1997.664</v>
      </c>
      <c r="AM20" s="25">
        <f>SUM(AM21:AM23)</f>
        <v>1861.0379999999996</v>
      </c>
      <c r="AN20" s="25">
        <f>SUM(AN21:AN23)</f>
        <v>1409.5749999999998</v>
      </c>
      <c r="AO20" s="25">
        <f t="shared" ref="AO20:AP20" si="19">SUM(AO21:AO23)</f>
        <v>2194.5060000000003</v>
      </c>
      <c r="AP20" s="25">
        <f t="shared" si="19"/>
        <v>2370.7759999999998</v>
      </c>
      <c r="AQ20" s="25">
        <v>1420.4859999999999</v>
      </c>
      <c r="AR20" s="25">
        <f>+SUM(AR21:AR23)</f>
        <v>1550.095</v>
      </c>
      <c r="AS20" s="25">
        <v>2274.0099999999998</v>
      </c>
      <c r="AT20" s="25">
        <v>2204</v>
      </c>
      <c r="AU20" s="25">
        <f t="shared" ref="AU20" si="20">SUM(AU21:AU23)</f>
        <v>655.7940000000001</v>
      </c>
      <c r="AV20" s="25">
        <v>237.23599999999999</v>
      </c>
      <c r="AW20" s="25">
        <v>1398</v>
      </c>
      <c r="AX20" s="25">
        <v>1439.8689999999999</v>
      </c>
      <c r="AY20" s="25">
        <f t="shared" ref="AY20" si="21">SUM(AY21:AY23)</f>
        <v>677.32010000000014</v>
      </c>
      <c r="AZ20" s="25">
        <v>263.23740000000021</v>
      </c>
      <c r="BA20" s="25">
        <v>1086.9077999999997</v>
      </c>
      <c r="BB20" s="25">
        <v>864.55800000000022</v>
      </c>
    </row>
    <row r="21" spans="1:61">
      <c r="A21" s="53">
        <f t="shared" si="0"/>
        <v>16</v>
      </c>
      <c r="B21" s="5" t="s">
        <v>152</v>
      </c>
      <c r="C21" s="21">
        <f t="shared" si="9"/>
        <v>1106.5</v>
      </c>
      <c r="D21" s="21">
        <f t="shared" si="10"/>
        <v>821.34500000000025</v>
      </c>
      <c r="E21" s="44">
        <f>+D21/C21-1</f>
        <v>-0.25770899231811994</v>
      </c>
      <c r="G21" s="53">
        <f t="shared" si="1"/>
        <v>16</v>
      </c>
      <c r="H21" s="5" t="s">
        <v>152</v>
      </c>
      <c r="I21" s="21">
        <v>1357.1130000000001</v>
      </c>
      <c r="J21" s="21">
        <v>929.08699999999976</v>
      </c>
      <c r="K21" s="21">
        <v>536</v>
      </c>
      <c r="L21" s="21">
        <v>188.97200000000001</v>
      </c>
      <c r="M21" s="21">
        <v>1146.7660000000001</v>
      </c>
      <c r="N21" s="21">
        <v>1201.8629999999998</v>
      </c>
      <c r="O21" s="21">
        <v>868.34900000000005</v>
      </c>
      <c r="P21" s="21">
        <v>204.482</v>
      </c>
      <c r="Q21" s="21">
        <v>1212.1610000000001</v>
      </c>
      <c r="R21" s="21">
        <v>1027.8029999999999</v>
      </c>
      <c r="S21" s="21">
        <v>559</v>
      </c>
      <c r="T21" s="21">
        <v>795.11400000000003</v>
      </c>
      <c r="U21" s="21">
        <v>1300.9190000000001</v>
      </c>
      <c r="V21" s="21">
        <v>1248.1420000000001</v>
      </c>
      <c r="W21" s="21">
        <v>846.3</v>
      </c>
      <c r="X21" s="21">
        <v>495.12900000000002</v>
      </c>
      <c r="Y21" s="21">
        <v>1268.5309999999999</v>
      </c>
      <c r="Z21" s="21">
        <v>1341.1381999999999</v>
      </c>
      <c r="AA21" s="21">
        <v>914.07899999999995</v>
      </c>
      <c r="AB21" s="21">
        <v>335.71</v>
      </c>
      <c r="AC21" s="21">
        <v>1362.9110000000001</v>
      </c>
      <c r="AD21" s="21">
        <v>1199.1079999999999</v>
      </c>
      <c r="AE21" s="21">
        <v>965.79200000000014</v>
      </c>
      <c r="AF21" s="21">
        <v>979.50349999999992</v>
      </c>
      <c r="AG21" s="21">
        <v>1190.3717999999999</v>
      </c>
      <c r="AH21" s="21">
        <v>1425.2629999999999</v>
      </c>
      <c r="AI21" s="21">
        <v>1429.42956</v>
      </c>
      <c r="AJ21" s="21">
        <v>62.475000000000001</v>
      </c>
      <c r="AK21" s="21">
        <v>722.05399999999997</v>
      </c>
      <c r="AL21" s="21">
        <v>1206.932</v>
      </c>
      <c r="AM21" s="21">
        <v>1039.9879999999998</v>
      </c>
      <c r="AN21" s="21">
        <v>997.404</v>
      </c>
      <c r="AO21" s="21">
        <v>1526.4650000000001</v>
      </c>
      <c r="AP21" s="21">
        <v>1564.117</v>
      </c>
      <c r="AQ21" s="21">
        <v>680.93499999999995</v>
      </c>
      <c r="AR21" s="21">
        <v>1195.625</v>
      </c>
      <c r="AS21" s="21">
        <v>1640.5029999999999</v>
      </c>
      <c r="AT21" s="21">
        <v>1531.43</v>
      </c>
      <c r="AU21" s="21">
        <v>434.07300000000004</v>
      </c>
      <c r="AV21" s="21">
        <v>148.13200000000001</v>
      </c>
      <c r="AW21" s="21">
        <v>831</v>
      </c>
      <c r="AX21" s="21">
        <v>1106.5</v>
      </c>
      <c r="AY21" s="21">
        <v>334.74609999999996</v>
      </c>
      <c r="AZ21" s="21">
        <v>244.05840000000018</v>
      </c>
      <c r="BA21" s="21">
        <v>942.16939999999977</v>
      </c>
      <c r="BB21" s="21">
        <v>821.34500000000025</v>
      </c>
    </row>
    <row r="22" spans="1:61">
      <c r="A22" s="53">
        <f t="shared" si="0"/>
        <v>17</v>
      </c>
      <c r="B22" s="5" t="s">
        <v>153</v>
      </c>
      <c r="C22" s="21">
        <f t="shared" si="9"/>
        <v>10.381000000000004</v>
      </c>
      <c r="D22" s="21">
        <f t="shared" si="10"/>
        <v>43.213000000000008</v>
      </c>
      <c r="E22" s="44">
        <f t="shared" ref="E22:E26" si="22">+D22/C22-1</f>
        <v>3.1627010885271165</v>
      </c>
      <c r="G22" s="53">
        <f t="shared" si="1"/>
        <v>17</v>
      </c>
      <c r="H22" s="5" t="s">
        <v>153</v>
      </c>
      <c r="I22" s="21">
        <v>96.025000000000006</v>
      </c>
      <c r="J22" s="21">
        <v>231.07500000000002</v>
      </c>
      <c r="K22" s="21">
        <v>216</v>
      </c>
      <c r="L22" s="21">
        <v>2.7489999999999997</v>
      </c>
      <c r="M22" s="21">
        <v>141.345</v>
      </c>
      <c r="N22" s="21">
        <v>101.99799999999999</v>
      </c>
      <c r="O22" s="21">
        <v>0.33800000000000002</v>
      </c>
      <c r="P22" s="21">
        <v>0.50900000000000001</v>
      </c>
      <c r="Q22" s="21">
        <v>3.5060000000000002</v>
      </c>
      <c r="R22" s="21">
        <v>204.721</v>
      </c>
      <c r="S22" s="21">
        <v>94</v>
      </c>
      <c r="T22" s="21">
        <v>12.699</v>
      </c>
      <c r="U22" s="21">
        <v>43.264000000000003</v>
      </c>
      <c r="V22" s="21">
        <v>122.758</v>
      </c>
      <c r="W22" s="21">
        <v>32.299999999999997</v>
      </c>
      <c r="X22" s="21">
        <v>7.6610000000000005</v>
      </c>
      <c r="Y22" s="21">
        <v>14.943999999999999</v>
      </c>
      <c r="Z22" s="21">
        <v>28.54</v>
      </c>
      <c r="AA22" s="21">
        <v>21.773</v>
      </c>
      <c r="AB22" s="21">
        <v>13.209999999999999</v>
      </c>
      <c r="AC22" s="21">
        <v>51.590219684999994</v>
      </c>
      <c r="AD22" s="21">
        <v>12.888939999999998</v>
      </c>
      <c r="AE22" s="21">
        <v>5.3000000000000005E-2</v>
      </c>
      <c r="AF22" s="21">
        <v>2.0883000000000003</v>
      </c>
      <c r="AG22" s="21">
        <v>31.466000000000001</v>
      </c>
      <c r="AH22" s="21">
        <v>31.5</v>
      </c>
      <c r="AI22" s="21">
        <v>3.4470000000000001</v>
      </c>
      <c r="AJ22" s="21">
        <v>5.99</v>
      </c>
      <c r="AK22" s="21">
        <v>118.843</v>
      </c>
      <c r="AL22" s="21">
        <v>45.290000000000006</v>
      </c>
      <c r="AM22" s="21">
        <v>101.78299999999999</v>
      </c>
      <c r="AN22" s="21">
        <v>28.376999999999999</v>
      </c>
      <c r="AO22" s="21">
        <v>29.93</v>
      </c>
      <c r="AP22" s="21">
        <v>153.40800000000002</v>
      </c>
      <c r="AQ22" s="21">
        <v>22.573999999999998</v>
      </c>
      <c r="AR22" s="21">
        <v>10.247</v>
      </c>
      <c r="AS22" s="21">
        <v>22.802</v>
      </c>
      <c r="AT22" s="21">
        <v>38.57</v>
      </c>
      <c r="AU22" s="21">
        <v>0.505</v>
      </c>
      <c r="AV22" s="21">
        <v>2.0099999999999998</v>
      </c>
      <c r="AW22" s="21">
        <v>2</v>
      </c>
      <c r="AX22" s="21">
        <v>10.381000000000004</v>
      </c>
      <c r="AY22" s="21">
        <v>2.1070000000000002</v>
      </c>
      <c r="AZ22" s="21">
        <v>2.77</v>
      </c>
      <c r="BA22" s="21">
        <v>6.4943999999999988</v>
      </c>
      <c r="BB22" s="21">
        <v>43.213000000000008</v>
      </c>
    </row>
    <row r="23" spans="1:61">
      <c r="A23" s="53">
        <f t="shared" si="0"/>
        <v>18</v>
      </c>
      <c r="B23" s="5" t="s">
        <v>154</v>
      </c>
      <c r="C23" s="21">
        <f t="shared" si="9"/>
        <v>322.98799999999977</v>
      </c>
      <c r="D23" s="21">
        <f t="shared" si="10"/>
        <v>0</v>
      </c>
      <c r="E23" s="44">
        <f t="shared" si="22"/>
        <v>-1</v>
      </c>
      <c r="G23" s="53">
        <f t="shared" si="1"/>
        <v>18</v>
      </c>
      <c r="H23" s="5" t="s">
        <v>154</v>
      </c>
      <c r="I23" s="21">
        <v>705.99599999999998</v>
      </c>
      <c r="J23" s="21">
        <v>717.90400000000011</v>
      </c>
      <c r="K23" s="21">
        <v>672</v>
      </c>
      <c r="L23" s="21">
        <v>527.33199999999999</v>
      </c>
      <c r="M23" s="21">
        <v>791.64400000000001</v>
      </c>
      <c r="N23" s="21">
        <v>699.44800000000009</v>
      </c>
      <c r="O23" s="21">
        <v>650.74800000000005</v>
      </c>
      <c r="P23" s="21">
        <v>262.99700000000001</v>
      </c>
      <c r="Q23" s="21">
        <v>699.51299999999992</v>
      </c>
      <c r="R23" s="21">
        <v>723.97800000000007</v>
      </c>
      <c r="S23" s="21">
        <v>743</v>
      </c>
      <c r="T23" s="21">
        <v>338.56899999999996</v>
      </c>
      <c r="U23" s="21">
        <v>735.95499999999993</v>
      </c>
      <c r="V23" s="21">
        <v>738.17399999999998</v>
      </c>
      <c r="W23" s="21">
        <v>746.9</v>
      </c>
      <c r="X23" s="21">
        <v>384.94999999999993</v>
      </c>
      <c r="Y23" s="21">
        <v>736.45100000000002</v>
      </c>
      <c r="Z23" s="21">
        <v>682.37900000000002</v>
      </c>
      <c r="AA23" s="21">
        <v>705.14099999999996</v>
      </c>
      <c r="AB23" s="21">
        <v>495.72</v>
      </c>
      <c r="AC23" s="21">
        <v>699.16600000000005</v>
      </c>
      <c r="AD23" s="21">
        <v>690.70500000000004</v>
      </c>
      <c r="AE23" s="21">
        <v>198.446</v>
      </c>
      <c r="AF23" s="21">
        <v>345.66499999999996</v>
      </c>
      <c r="AG23" s="21">
        <v>616.63599999999997</v>
      </c>
      <c r="AH23" s="21">
        <v>651.28</v>
      </c>
      <c r="AI23" s="21">
        <v>545.02200000000005</v>
      </c>
      <c r="AJ23" s="21">
        <v>382.024</v>
      </c>
      <c r="AK23" s="21">
        <v>671.76</v>
      </c>
      <c r="AL23" s="21">
        <v>745.44200000000001</v>
      </c>
      <c r="AM23" s="21">
        <v>719.26699999999994</v>
      </c>
      <c r="AN23" s="21">
        <v>383.79399999999998</v>
      </c>
      <c r="AO23" s="21">
        <v>638.1110000000001</v>
      </c>
      <c r="AP23" s="21">
        <v>653.25099999999998</v>
      </c>
      <c r="AQ23" s="21">
        <v>716.97700000000009</v>
      </c>
      <c r="AR23" s="21">
        <v>344.22300000000001</v>
      </c>
      <c r="AS23" s="21">
        <v>610.70500000000004</v>
      </c>
      <c r="AT23" s="21">
        <v>634.25</v>
      </c>
      <c r="AU23" s="21">
        <v>221.21600000000001</v>
      </c>
      <c r="AV23" s="21">
        <v>87.093999999999994</v>
      </c>
      <c r="AW23" s="21">
        <v>565</v>
      </c>
      <c r="AX23" s="21">
        <v>322.98799999999977</v>
      </c>
      <c r="AY23" s="21">
        <v>340.4670000000001</v>
      </c>
      <c r="AZ23" s="21">
        <v>16.408999999999999</v>
      </c>
      <c r="BA23" s="21">
        <v>138.24399999999989</v>
      </c>
      <c r="BB23" s="21">
        <v>0</v>
      </c>
    </row>
    <row r="24" spans="1:61">
      <c r="A24" s="53">
        <f t="shared" si="0"/>
        <v>19</v>
      </c>
      <c r="B24" s="24" t="s">
        <v>155</v>
      </c>
      <c r="C24" s="25">
        <f t="shared" si="9"/>
        <v>176.06292000000002</v>
      </c>
      <c r="D24" s="25">
        <f t="shared" si="10"/>
        <v>518.14479876362213</v>
      </c>
      <c r="E24" s="90" t="s">
        <v>148</v>
      </c>
      <c r="G24" s="53">
        <f t="shared" si="1"/>
        <v>19</v>
      </c>
      <c r="H24" s="24" t="s">
        <v>155</v>
      </c>
      <c r="I24" s="27">
        <f>SUM(I25:I26)</f>
        <v>0</v>
      </c>
      <c r="J24" s="27">
        <f t="shared" ref="J24:Y24" si="23">SUM(J25:J26)</f>
        <v>0</v>
      </c>
      <c r="K24" s="27">
        <f t="shared" si="23"/>
        <v>0</v>
      </c>
      <c r="L24" s="25">
        <f t="shared" si="23"/>
        <v>27</v>
      </c>
      <c r="M24" s="25">
        <f t="shared" si="23"/>
        <v>17.866000000000003</v>
      </c>
      <c r="N24" s="25">
        <f t="shared" si="23"/>
        <v>27.525100000000002</v>
      </c>
      <c r="O24" s="25">
        <f t="shared" si="23"/>
        <v>27.0913</v>
      </c>
      <c r="P24" s="25">
        <f t="shared" si="23"/>
        <v>38.855344280000011</v>
      </c>
      <c r="Q24" s="25">
        <f t="shared" si="23"/>
        <v>18.837700000000002</v>
      </c>
      <c r="R24" s="25">
        <f t="shared" si="23"/>
        <v>18.474769999999999</v>
      </c>
      <c r="S24" s="25">
        <f t="shared" si="23"/>
        <v>28</v>
      </c>
      <c r="T24" s="25">
        <f t="shared" si="23"/>
        <v>29.851632112000004</v>
      </c>
      <c r="U24" s="25">
        <f t="shared" si="23"/>
        <v>21.848003753000004</v>
      </c>
      <c r="V24" s="25">
        <f t="shared" si="23"/>
        <v>29.300611658000001</v>
      </c>
      <c r="W24" s="25">
        <f t="shared" si="23"/>
        <v>29.4</v>
      </c>
      <c r="X24" s="25">
        <f t="shared" si="23"/>
        <v>35.836244550000004</v>
      </c>
      <c r="Y24" s="25">
        <f t="shared" si="23"/>
        <v>26.215077972368299</v>
      </c>
      <c r="Z24" s="25">
        <f t="shared" ref="Z24" si="24">SUM(Z25:Z26)</f>
        <v>29.41226087674421</v>
      </c>
      <c r="AA24" s="25">
        <f t="shared" ref="AA24:AJ24" si="25">SUM(AA25:AA26)</f>
        <v>36.519630291729221</v>
      </c>
      <c r="AB24" s="25">
        <f t="shared" si="25"/>
        <v>43.706121845772216</v>
      </c>
      <c r="AC24" s="25">
        <f t="shared" si="25"/>
        <v>26.576624748011</v>
      </c>
      <c r="AD24" s="25">
        <f t="shared" si="25"/>
        <v>60.150467104336997</v>
      </c>
      <c r="AE24" s="25">
        <f t="shared" si="25"/>
        <v>108.44471372218833</v>
      </c>
      <c r="AF24" s="25">
        <f t="shared" si="25"/>
        <v>105.50269951004388</v>
      </c>
      <c r="AG24" s="25">
        <f t="shared" si="25"/>
        <v>26.318386791767686</v>
      </c>
      <c r="AH24" s="25">
        <f t="shared" si="25"/>
        <v>24.394579026104999</v>
      </c>
      <c r="AI24" s="25">
        <f t="shared" si="25"/>
        <v>38.531512138870092</v>
      </c>
      <c r="AJ24" s="25">
        <f t="shared" si="25"/>
        <v>42.633872261769937</v>
      </c>
      <c r="AK24" s="25">
        <f>SUM(AK25:AK26)</f>
        <v>27.695489046976014</v>
      </c>
      <c r="AL24" s="25">
        <f>SUM(AL25:AL26)</f>
        <v>25.529994363639318</v>
      </c>
      <c r="AM24" s="25">
        <f>SUM(AM25:AM26)</f>
        <v>88.357757452910192</v>
      </c>
      <c r="AN24" s="25">
        <f>+SUM(AN25:AN26)</f>
        <v>166.46686625035599</v>
      </c>
      <c r="AO24" s="25">
        <f>SUM(AO25:AO26)</f>
        <v>251.48959344709863</v>
      </c>
      <c r="AP24" s="25">
        <f>SUM(AP25:AP26)</f>
        <v>250.44139453022714</v>
      </c>
      <c r="AQ24" s="25">
        <v>170.82899486924816</v>
      </c>
      <c r="AR24" s="25">
        <f>+SUM(AR25:AR26)</f>
        <v>198.53534553044113</v>
      </c>
      <c r="AS24" s="25">
        <f t="shared" ref="AS24:AU24" si="26">+SUM(AS25:AS26)</f>
        <v>215.69430917953127</v>
      </c>
      <c r="AT24" s="25">
        <f t="shared" si="26"/>
        <v>170.11999999999998</v>
      </c>
      <c r="AU24" s="25">
        <f t="shared" si="26"/>
        <v>153.47972409705409</v>
      </c>
      <c r="AV24" s="25">
        <v>193.01942152888</v>
      </c>
      <c r="AW24" s="25">
        <v>202</v>
      </c>
      <c r="AX24" s="25">
        <v>176.06292000000002</v>
      </c>
      <c r="AY24" s="25">
        <f t="shared" ref="AY24:AZ24" si="27">+SUM(AY25:AY26)</f>
        <v>236.42964500000002</v>
      </c>
      <c r="AZ24" s="25">
        <f t="shared" si="27"/>
        <v>444.58952249987948</v>
      </c>
      <c r="BA24" s="25">
        <v>452.09763693368774</v>
      </c>
      <c r="BB24" s="25">
        <v>518.14479876362213</v>
      </c>
    </row>
    <row r="25" spans="1:61">
      <c r="A25" s="53">
        <f t="shared" si="0"/>
        <v>20</v>
      </c>
      <c r="B25" s="5" t="s">
        <v>156</v>
      </c>
      <c r="C25" s="26">
        <f t="shared" si="9"/>
        <v>41.062920000000027</v>
      </c>
      <c r="D25" s="26">
        <f t="shared" si="10"/>
        <v>383.7564840000004</v>
      </c>
      <c r="E25" s="44" t="s">
        <v>148</v>
      </c>
      <c r="G25" s="53">
        <f t="shared" si="1"/>
        <v>20</v>
      </c>
      <c r="H25" s="5" t="s">
        <v>156</v>
      </c>
      <c r="I25" s="26">
        <v>0</v>
      </c>
      <c r="J25" s="26">
        <v>0</v>
      </c>
      <c r="K25" s="26">
        <v>0</v>
      </c>
      <c r="L25" s="21">
        <v>27</v>
      </c>
      <c r="M25" s="21">
        <v>17.866000000000003</v>
      </c>
      <c r="N25" s="21">
        <v>27.525100000000002</v>
      </c>
      <c r="O25" s="21">
        <v>27.0913</v>
      </c>
      <c r="P25" s="21">
        <v>38.855344280000011</v>
      </c>
      <c r="Q25" s="21">
        <v>18.837700000000002</v>
      </c>
      <c r="R25" s="21">
        <v>18.474769999999999</v>
      </c>
      <c r="S25" s="21">
        <v>28</v>
      </c>
      <c r="T25" s="21">
        <v>29.851632112000004</v>
      </c>
      <c r="U25" s="21">
        <v>21.848003753000004</v>
      </c>
      <c r="V25" s="21">
        <v>29.300611658000001</v>
      </c>
      <c r="W25" s="21">
        <v>29.4</v>
      </c>
      <c r="X25" s="21">
        <v>35.836244550000004</v>
      </c>
      <c r="Y25" s="21">
        <v>25.603801381104297</v>
      </c>
      <c r="Z25" s="21">
        <v>26.332554626443208</v>
      </c>
      <c r="AA25" s="21">
        <v>33.033485733932224</v>
      </c>
      <c r="AB25" s="21">
        <v>36.79612184577222</v>
      </c>
      <c r="AC25" s="21">
        <v>20.165046798408</v>
      </c>
      <c r="AD25" s="21">
        <v>57.085455013663996</v>
      </c>
      <c r="AE25" s="21">
        <v>104.68628249675183</v>
      </c>
      <c r="AF25" s="21">
        <v>98.468849971651082</v>
      </c>
      <c r="AG25" s="26">
        <v>19.689539782499988</v>
      </c>
      <c r="AH25" s="21">
        <v>21.309542624999999</v>
      </c>
      <c r="AI25" s="21">
        <v>34.433420699999992</v>
      </c>
      <c r="AJ25" s="21">
        <v>35.235859575000035</v>
      </c>
      <c r="AK25" s="26">
        <v>21.419570000000014</v>
      </c>
      <c r="AL25" s="26">
        <v>22.435517000000015</v>
      </c>
      <c r="AM25" s="26">
        <v>84.723199999999991</v>
      </c>
      <c r="AN25" s="26">
        <v>41.485839999999996</v>
      </c>
      <c r="AO25" s="26">
        <v>33.298859999999976</v>
      </c>
      <c r="AP25" s="26">
        <v>24.154230000000002</v>
      </c>
      <c r="AQ25" s="26">
        <v>26.608487000000018</v>
      </c>
      <c r="AR25" s="26">
        <v>24.793479999999988</v>
      </c>
      <c r="AS25" s="26">
        <v>19.005010000000013</v>
      </c>
      <c r="AT25" s="26">
        <v>22.2</v>
      </c>
      <c r="AU25" s="26">
        <v>27.699690000000004</v>
      </c>
      <c r="AV25" s="26">
        <v>31.993730000000042</v>
      </c>
      <c r="AW25" s="26">
        <v>21</v>
      </c>
      <c r="AX25" s="26">
        <v>41.062920000000027</v>
      </c>
      <c r="AY25" s="26">
        <v>98.729645000000033</v>
      </c>
      <c r="AZ25" s="26">
        <v>272.28547370967334</v>
      </c>
      <c r="BA25" s="26">
        <v>293.48981800000007</v>
      </c>
      <c r="BB25" s="26">
        <v>383.7564840000004</v>
      </c>
    </row>
    <row r="26" spans="1:61">
      <c r="A26" s="53">
        <f t="shared" si="0"/>
        <v>21</v>
      </c>
      <c r="B26" s="5" t="s">
        <v>243</v>
      </c>
      <c r="C26" s="26">
        <f t="shared" si="9"/>
        <v>135</v>
      </c>
      <c r="D26" s="26">
        <f t="shared" si="10"/>
        <v>134.38831476362176</v>
      </c>
      <c r="E26" s="44">
        <f t="shared" si="22"/>
        <v>-4.5310017509498923E-3</v>
      </c>
      <c r="G26" s="53">
        <f t="shared" si="1"/>
        <v>21</v>
      </c>
      <c r="H26" s="5" t="s">
        <v>157</v>
      </c>
      <c r="I26" s="26">
        <v>0</v>
      </c>
      <c r="J26" s="26">
        <v>0</v>
      </c>
      <c r="K26" s="26">
        <v>0</v>
      </c>
      <c r="L26" s="26">
        <v>0</v>
      </c>
      <c r="M26" s="26">
        <v>0</v>
      </c>
      <c r="N26" s="26">
        <v>0</v>
      </c>
      <c r="O26" s="26">
        <v>0</v>
      </c>
      <c r="P26" s="26">
        <v>0</v>
      </c>
      <c r="Q26" s="26">
        <v>0</v>
      </c>
      <c r="R26" s="26">
        <v>0</v>
      </c>
      <c r="S26" s="26">
        <v>0</v>
      </c>
      <c r="T26" s="26">
        <v>0</v>
      </c>
      <c r="U26" s="26">
        <v>0</v>
      </c>
      <c r="V26" s="26">
        <v>0</v>
      </c>
      <c r="W26" s="26">
        <v>0</v>
      </c>
      <c r="X26" s="26">
        <v>0</v>
      </c>
      <c r="Y26" s="26">
        <v>0.61127659126400002</v>
      </c>
      <c r="Z26" s="26">
        <v>3.0797062503010002</v>
      </c>
      <c r="AA26" s="26">
        <v>3.4861445577970001</v>
      </c>
      <c r="AB26" s="26">
        <v>6.91</v>
      </c>
      <c r="AC26" s="26">
        <v>6.4115779496030001</v>
      </c>
      <c r="AD26" s="26">
        <v>3.0650120906730001</v>
      </c>
      <c r="AE26" s="26">
        <v>3.7584312254364995</v>
      </c>
      <c r="AF26" s="21">
        <v>7.0338495383928006</v>
      </c>
      <c r="AG26" s="26">
        <v>6.6288470092676999</v>
      </c>
      <c r="AH26" s="26">
        <v>3.085036401105</v>
      </c>
      <c r="AI26" s="26">
        <v>4.0980914388700995</v>
      </c>
      <c r="AJ26" s="26">
        <v>7.398012686769901</v>
      </c>
      <c r="AK26" s="26">
        <v>6.2759190469760009</v>
      </c>
      <c r="AL26" s="26">
        <v>3.0944773636393013</v>
      </c>
      <c r="AM26" s="26">
        <v>3.6345574529101992</v>
      </c>
      <c r="AN26" s="26">
        <v>124.981026250356</v>
      </c>
      <c r="AO26" s="26">
        <v>218.19073344709864</v>
      </c>
      <c r="AP26" s="26">
        <v>226.28716453022713</v>
      </c>
      <c r="AQ26" s="26">
        <v>144.22050786924814</v>
      </c>
      <c r="AR26" s="26">
        <v>173.74186553044115</v>
      </c>
      <c r="AS26" s="26">
        <v>196.68929917953128</v>
      </c>
      <c r="AT26" s="26">
        <v>147.91999999999999</v>
      </c>
      <c r="AU26" s="26">
        <v>125.78003409705408</v>
      </c>
      <c r="AV26" s="26">
        <v>161.02569152887995</v>
      </c>
      <c r="AW26" s="26">
        <v>181</v>
      </c>
      <c r="AX26" s="26">
        <v>135</v>
      </c>
      <c r="AY26" s="26">
        <v>137.69999999999999</v>
      </c>
      <c r="AZ26" s="26">
        <v>172.30404879020614</v>
      </c>
      <c r="BA26" s="26">
        <v>158.60781893368767</v>
      </c>
      <c r="BB26" s="26">
        <v>134.38831476362176</v>
      </c>
    </row>
    <row r="27" spans="1:61">
      <c r="A27" s="53">
        <f t="shared" si="0"/>
        <v>22</v>
      </c>
      <c r="B27" s="24" t="s">
        <v>158</v>
      </c>
      <c r="C27" s="27">
        <f t="shared" si="9"/>
        <v>0</v>
      </c>
      <c r="D27" s="27">
        <f t="shared" si="10"/>
        <v>190.34934100963562</v>
      </c>
      <c r="E27" s="44" t="s">
        <v>148</v>
      </c>
      <c r="G27" s="53">
        <f t="shared" si="1"/>
        <v>22</v>
      </c>
      <c r="H27" s="24" t="s">
        <v>158</v>
      </c>
      <c r="I27" s="26">
        <v>0</v>
      </c>
      <c r="J27" s="26">
        <v>0</v>
      </c>
      <c r="K27" s="25">
        <v>23.8</v>
      </c>
      <c r="L27" s="25">
        <v>119.8</v>
      </c>
      <c r="M27" s="26">
        <v>0</v>
      </c>
      <c r="N27" s="26">
        <v>0</v>
      </c>
      <c r="O27" s="26">
        <v>0</v>
      </c>
      <c r="P27" s="25">
        <v>124</v>
      </c>
      <c r="Q27" s="26">
        <v>0</v>
      </c>
      <c r="R27" s="26">
        <v>0</v>
      </c>
      <c r="S27" s="25">
        <v>433</v>
      </c>
      <c r="T27" s="25">
        <v>490</v>
      </c>
      <c r="U27" s="26">
        <v>0</v>
      </c>
      <c r="V27" s="26">
        <v>0</v>
      </c>
      <c r="W27" s="25">
        <v>52.114804692825103</v>
      </c>
      <c r="X27" s="27">
        <v>0</v>
      </c>
      <c r="Y27" s="27">
        <v>0</v>
      </c>
      <c r="Z27" s="27">
        <v>0</v>
      </c>
      <c r="AA27" s="27">
        <v>65.028804890240636</v>
      </c>
      <c r="AB27" s="27">
        <v>29.296061395493101</v>
      </c>
      <c r="AC27" s="27">
        <v>0</v>
      </c>
      <c r="AD27" s="27">
        <v>0</v>
      </c>
      <c r="AE27" s="27">
        <v>369</v>
      </c>
      <c r="AF27" s="27">
        <v>102.91959303165353</v>
      </c>
      <c r="AG27" s="27">
        <v>0</v>
      </c>
      <c r="AH27" s="27">
        <v>0</v>
      </c>
      <c r="AI27" s="27">
        <v>0</v>
      </c>
      <c r="AJ27" s="27">
        <v>269.7378305259823</v>
      </c>
      <c r="AK27" s="27">
        <v>180.38096507499472</v>
      </c>
      <c r="AL27" s="27">
        <v>0</v>
      </c>
      <c r="AM27" s="27">
        <v>0</v>
      </c>
      <c r="AN27" s="27">
        <v>105.3</v>
      </c>
      <c r="AO27" s="27">
        <v>0</v>
      </c>
      <c r="AP27" s="27">
        <v>0</v>
      </c>
      <c r="AQ27" s="27">
        <v>35.746797153592098</v>
      </c>
      <c r="AR27" s="27">
        <v>0</v>
      </c>
      <c r="AS27" s="27">
        <v>0</v>
      </c>
      <c r="AT27" s="27">
        <v>0</v>
      </c>
      <c r="AU27" s="27">
        <v>18</v>
      </c>
      <c r="AV27" s="27">
        <v>170</v>
      </c>
      <c r="AW27" s="27">
        <v>0</v>
      </c>
      <c r="AX27" s="27">
        <v>0</v>
      </c>
      <c r="AY27" s="27">
        <v>46.2</v>
      </c>
      <c r="AZ27" s="27">
        <v>24.8474161944069</v>
      </c>
      <c r="BA27" s="27">
        <v>205.03179946026944</v>
      </c>
      <c r="BB27" s="27">
        <v>190.34934100963562</v>
      </c>
    </row>
    <row r="28" spans="1:61" ht="5.25" customHeight="1">
      <c r="A28" s="53">
        <f t="shared" si="0"/>
        <v>23</v>
      </c>
      <c r="C28" s="76"/>
      <c r="D28" s="76"/>
      <c r="E28" s="91"/>
      <c r="G28" s="53">
        <f t="shared" si="1"/>
        <v>23</v>
      </c>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row>
    <row r="29" spans="1:61">
      <c r="A29" s="53">
        <f t="shared" si="0"/>
        <v>24</v>
      </c>
      <c r="B29" s="19" t="s">
        <v>159</v>
      </c>
      <c r="C29" s="23">
        <f t="shared" si="9"/>
        <v>674.4</v>
      </c>
      <c r="D29" s="23">
        <f t="shared" si="10"/>
        <v>-190.34934100963562</v>
      </c>
      <c r="E29" s="50" t="s">
        <v>148</v>
      </c>
      <c r="G29" s="53">
        <f t="shared" si="1"/>
        <v>24</v>
      </c>
      <c r="H29" s="19" t="s">
        <v>159</v>
      </c>
      <c r="I29" s="23">
        <f>I13-I27</f>
        <v>218.96751644732302</v>
      </c>
      <c r="J29" s="23">
        <f t="shared" ref="J29:W29" si="28">J13-J27</f>
        <v>424.53248355267698</v>
      </c>
      <c r="K29" s="23">
        <f t="shared" si="28"/>
        <v>123.2</v>
      </c>
      <c r="L29" s="23">
        <f t="shared" si="28"/>
        <v>-119.8</v>
      </c>
      <c r="M29" s="23">
        <f t="shared" si="28"/>
        <v>327</v>
      </c>
      <c r="N29" s="23">
        <f t="shared" si="28"/>
        <v>484</v>
      </c>
      <c r="O29" s="23">
        <f t="shared" si="28"/>
        <v>455.71628899999996</v>
      </c>
      <c r="P29" s="23">
        <f t="shared" si="28"/>
        <v>53.761164545645784</v>
      </c>
      <c r="Q29" s="23">
        <f t="shared" si="28"/>
        <v>402.79276660438609</v>
      </c>
      <c r="R29" s="23">
        <f t="shared" si="28"/>
        <v>512.70931975909969</v>
      </c>
      <c r="S29" s="23">
        <f t="shared" si="28"/>
        <v>-433</v>
      </c>
      <c r="T29" s="23">
        <f t="shared" si="28"/>
        <v>-490</v>
      </c>
      <c r="U29" s="23">
        <f>U13-U27</f>
        <v>355.57419945754248</v>
      </c>
      <c r="V29" s="23">
        <f t="shared" si="28"/>
        <v>476.44857716393153</v>
      </c>
      <c r="W29" s="23">
        <f t="shared" si="28"/>
        <v>163.68519530717492</v>
      </c>
      <c r="X29" s="23">
        <f t="shared" ref="X29:Y29" si="29">X13-X27</f>
        <v>345.10789999999997</v>
      </c>
      <c r="Y29" s="23">
        <f t="shared" si="29"/>
        <v>524.51625259600632</v>
      </c>
      <c r="Z29" s="23">
        <f>Z13-Z27</f>
        <v>517.42100000000005</v>
      </c>
      <c r="AA29" s="23">
        <f>AA13-AA27</f>
        <v>49.138423481814684</v>
      </c>
      <c r="AB29" s="23">
        <f t="shared" ref="AB29:AE29" si="30">AB13-AB27</f>
        <v>127.18293860450689</v>
      </c>
      <c r="AC29" s="23">
        <f t="shared" si="30"/>
        <v>679.59258450063749</v>
      </c>
      <c r="AD29" s="23">
        <f t="shared" si="30"/>
        <v>565.63741879474242</v>
      </c>
      <c r="AE29" s="23">
        <f t="shared" si="30"/>
        <v>-338</v>
      </c>
      <c r="AF29" s="23">
        <f t="shared" ref="AF29:AL29" si="31">AF13-AF27</f>
        <v>-102.91959303165353</v>
      </c>
      <c r="AG29" s="23">
        <f t="shared" si="31"/>
        <v>399.97817196043991</v>
      </c>
      <c r="AH29" s="23">
        <f t="shared" si="31"/>
        <v>500.52412506537814</v>
      </c>
      <c r="AI29" s="23">
        <f t="shared" si="31"/>
        <v>789.41849508749317</v>
      </c>
      <c r="AJ29" s="23">
        <f t="shared" si="31"/>
        <v>-234.52825661752502</v>
      </c>
      <c r="AK29" s="23">
        <f t="shared" si="31"/>
        <v>-93.084104091865811</v>
      </c>
      <c r="AL29" s="23">
        <f t="shared" si="31"/>
        <v>621.59086649847029</v>
      </c>
      <c r="AM29" s="23">
        <f>AM13-AM27</f>
        <v>253.63679747067806</v>
      </c>
      <c r="AN29" s="23">
        <f>AN13-AN27</f>
        <v>74.494145812848004</v>
      </c>
      <c r="AO29" s="23">
        <f>AO13-AO27</f>
        <v>240</v>
      </c>
      <c r="AP29" s="23">
        <f t="shared" ref="AP29:AZ29" si="32">AP13-AP27</f>
        <v>535</v>
      </c>
      <c r="AQ29" s="23">
        <f t="shared" si="32"/>
        <v>194.77162800738492</v>
      </c>
      <c r="AR29" s="23">
        <f t="shared" si="32"/>
        <v>448.44301984515789</v>
      </c>
      <c r="AS29" s="23">
        <f t="shared" si="32"/>
        <v>304.45764578247338</v>
      </c>
      <c r="AT29" s="23">
        <f t="shared" si="32"/>
        <v>460.25699149522723</v>
      </c>
      <c r="AU29" s="23">
        <f t="shared" si="32"/>
        <v>231.75240306943329</v>
      </c>
      <c r="AV29" s="23">
        <f t="shared" si="32"/>
        <v>-134.84125469305002</v>
      </c>
      <c r="AW29" s="23">
        <f t="shared" si="32"/>
        <v>538.79999999999995</v>
      </c>
      <c r="AX29" s="23">
        <f t="shared" si="32"/>
        <v>674.4</v>
      </c>
      <c r="AY29" s="23">
        <f t="shared" si="32"/>
        <v>260.8</v>
      </c>
      <c r="AZ29" s="23">
        <f t="shared" si="32"/>
        <v>90.196235932689461</v>
      </c>
      <c r="BA29" s="23">
        <f t="shared" ref="BA29:BB29" si="33">BA13-BA27</f>
        <v>-205.03179946026944</v>
      </c>
      <c r="BB29" s="23">
        <f t="shared" si="33"/>
        <v>-190.34934100963562</v>
      </c>
    </row>
    <row r="30" spans="1:61">
      <c r="E30" s="52"/>
    </row>
    <row r="34" spans="1:54" ht="23.25">
      <c r="B34" s="11" t="s">
        <v>29</v>
      </c>
      <c r="C34" s="12"/>
      <c r="D34" s="12"/>
      <c r="E34" s="12"/>
      <c r="H34" s="11" t="s">
        <v>29</v>
      </c>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row>
    <row r="36" spans="1:54">
      <c r="A36" s="53">
        <v>1</v>
      </c>
      <c r="B36" s="3" t="s">
        <v>97</v>
      </c>
      <c r="C36" s="134" t="str">
        <f>C6</f>
        <v>2Q24</v>
      </c>
      <c r="D36" s="134" t="str">
        <f>D6</f>
        <v>2Q25</v>
      </c>
      <c r="E36" s="134" t="s">
        <v>100</v>
      </c>
      <c r="G36" s="53">
        <v>1</v>
      </c>
      <c r="H36" s="3" t="s">
        <v>97</v>
      </c>
      <c r="I36" s="134" t="s">
        <v>101</v>
      </c>
      <c r="J36" s="134" t="s">
        <v>102</v>
      </c>
      <c r="K36" s="134" t="s">
        <v>103</v>
      </c>
      <c r="L36" s="134" t="s">
        <v>104</v>
      </c>
      <c r="M36" s="134" t="s">
        <v>105</v>
      </c>
      <c r="N36" s="134" t="s">
        <v>106</v>
      </c>
      <c r="O36" s="134" t="s">
        <v>107</v>
      </c>
      <c r="P36" s="134" t="s">
        <v>108</v>
      </c>
      <c r="Q36" s="134" t="s">
        <v>109</v>
      </c>
      <c r="R36" s="134" t="s">
        <v>110</v>
      </c>
      <c r="S36" s="134" t="s">
        <v>111</v>
      </c>
      <c r="T36" s="134" t="s">
        <v>112</v>
      </c>
      <c r="U36" s="134" t="s">
        <v>113</v>
      </c>
      <c r="V36" s="134" t="s">
        <v>114</v>
      </c>
      <c r="W36" s="134" t="s">
        <v>115</v>
      </c>
      <c r="X36" s="134" t="s">
        <v>116</v>
      </c>
      <c r="Y36" s="134" t="s">
        <v>117</v>
      </c>
      <c r="Z36" s="134" t="s">
        <v>118</v>
      </c>
      <c r="AA36" s="134" t="s">
        <v>119</v>
      </c>
      <c r="AB36" s="134" t="s">
        <v>120</v>
      </c>
      <c r="AC36" s="134" t="s">
        <v>121</v>
      </c>
      <c r="AD36" s="134" t="s">
        <v>122</v>
      </c>
      <c r="AE36" s="134" t="s">
        <v>123</v>
      </c>
      <c r="AF36" s="134" t="s">
        <v>124</v>
      </c>
      <c r="AG36" s="134" t="s">
        <v>125</v>
      </c>
      <c r="AH36" s="134" t="s">
        <v>126</v>
      </c>
      <c r="AI36" s="134" t="s">
        <v>127</v>
      </c>
      <c r="AJ36" s="134" t="s">
        <v>128</v>
      </c>
      <c r="AK36" s="134" t="s">
        <v>129</v>
      </c>
      <c r="AL36" s="134" t="s">
        <v>130</v>
      </c>
      <c r="AM36" s="134" t="s">
        <v>131</v>
      </c>
      <c r="AN36" s="134" t="s">
        <v>132</v>
      </c>
      <c r="AO36" s="134" t="s">
        <v>133</v>
      </c>
      <c r="AP36" s="134" t="s">
        <v>134</v>
      </c>
      <c r="AQ36" s="134" t="s">
        <v>135</v>
      </c>
      <c r="AR36" s="134" t="s">
        <v>136</v>
      </c>
      <c r="AS36" s="134" t="s">
        <v>137</v>
      </c>
      <c r="AT36" s="134" t="s">
        <v>138</v>
      </c>
      <c r="AU36" s="134" t="s">
        <v>139</v>
      </c>
      <c r="AV36" s="134" t="s">
        <v>98</v>
      </c>
      <c r="AW36" s="134" t="s">
        <v>140</v>
      </c>
      <c r="AX36" s="134" t="s">
        <v>141</v>
      </c>
      <c r="AY36" s="134" t="s">
        <v>142</v>
      </c>
      <c r="AZ36" s="134" t="s">
        <v>99</v>
      </c>
      <c r="BA36" s="134" t="s">
        <v>236</v>
      </c>
      <c r="BB36" s="134" t="s">
        <v>237</v>
      </c>
    </row>
    <row r="37" spans="1:54">
      <c r="A37" s="53">
        <v>2</v>
      </c>
      <c r="B37" s="3" t="s">
        <v>143</v>
      </c>
      <c r="C37" s="134"/>
      <c r="D37" s="134"/>
      <c r="E37" s="134"/>
      <c r="G37" s="53">
        <f>G36+1</f>
        <v>2</v>
      </c>
      <c r="H37" s="3" t="s">
        <v>143</v>
      </c>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row>
    <row r="38" spans="1:54">
      <c r="A38" s="53">
        <v>3</v>
      </c>
      <c r="G38" s="53">
        <f t="shared" ref="G38:G51" si="34">G37+1</f>
        <v>3</v>
      </c>
    </row>
    <row r="39" spans="1:54">
      <c r="A39" s="53">
        <v>4</v>
      </c>
      <c r="B39" s="6" t="s">
        <v>144</v>
      </c>
      <c r="C39" s="20">
        <f>SUM(C41:C42)</f>
        <v>849.70570569384483</v>
      </c>
      <c r="D39" s="20">
        <f>SUM(D41:D42)</f>
        <v>876.16024172372158</v>
      </c>
      <c r="E39" s="63">
        <f>D39/C39-1</f>
        <v>3.1133762963583722E-2</v>
      </c>
      <c r="G39" s="53">
        <f t="shared" si="34"/>
        <v>4</v>
      </c>
      <c r="H39" s="6" t="s">
        <v>144</v>
      </c>
      <c r="I39" s="28"/>
      <c r="J39" s="28"/>
      <c r="K39" s="28"/>
      <c r="L39" s="28"/>
      <c r="M39" s="28"/>
      <c r="N39" s="28"/>
      <c r="O39" s="28"/>
      <c r="P39" s="28"/>
      <c r="Q39" s="20">
        <f>Q41+Q42</f>
        <v>896.15477393720892</v>
      </c>
      <c r="R39" s="20">
        <f t="shared" ref="R39:W39" si="35">R41+R42</f>
        <v>966.33258163299797</v>
      </c>
      <c r="S39" s="20">
        <f t="shared" si="35"/>
        <v>931.47193074071765</v>
      </c>
      <c r="T39" s="20">
        <f t="shared" si="35"/>
        <v>1184.7649773808278</v>
      </c>
      <c r="U39" s="20">
        <f t="shared" si="35"/>
        <v>788.82634795288288</v>
      </c>
      <c r="V39" s="20">
        <f t="shared" si="35"/>
        <v>1049</v>
      </c>
      <c r="W39" s="20">
        <f t="shared" si="35"/>
        <v>1163.3114928183011</v>
      </c>
      <c r="X39" s="20">
        <f t="shared" ref="X39:Y39" si="36">X41+X42</f>
        <v>1110.2813305312957</v>
      </c>
      <c r="Y39" s="20">
        <f t="shared" si="36"/>
        <v>809.94496876190215</v>
      </c>
      <c r="Z39" s="20">
        <f t="shared" ref="Z39:AE39" si="37">Z41+Z42</f>
        <v>978.76345776423216</v>
      </c>
      <c r="AA39" s="20">
        <f t="shared" si="37"/>
        <v>1096.5211357750077</v>
      </c>
      <c r="AB39" s="20">
        <f t="shared" si="37"/>
        <v>1159.7479302785923</v>
      </c>
      <c r="AC39" s="20">
        <f t="shared" si="37"/>
        <v>941.93401631200777</v>
      </c>
      <c r="AD39" s="20">
        <f t="shared" si="37"/>
        <v>983.01939262984422</v>
      </c>
      <c r="AE39" s="20">
        <f t="shared" si="37"/>
        <v>1160.60459709322</v>
      </c>
      <c r="AF39" s="20">
        <f t="shared" ref="AF39:AO39" si="38">AF41+AF42</f>
        <v>825.0815780808764</v>
      </c>
      <c r="AG39" s="20">
        <f t="shared" si="38"/>
        <v>515.44411977188861</v>
      </c>
      <c r="AH39" s="20">
        <f t="shared" si="38"/>
        <v>626.65296885991324</v>
      </c>
      <c r="AI39" s="20">
        <f t="shared" si="38"/>
        <v>1018.899188234898</v>
      </c>
      <c r="AJ39" s="20">
        <f t="shared" si="38"/>
        <v>965.98011462914837</v>
      </c>
      <c r="AK39" s="20">
        <f t="shared" si="38"/>
        <v>560.96413158793575</v>
      </c>
      <c r="AL39" s="20">
        <f t="shared" si="38"/>
        <v>877.86212596818189</v>
      </c>
      <c r="AM39" s="20">
        <f t="shared" si="38"/>
        <v>1183.6065573044966</v>
      </c>
      <c r="AN39" s="20">
        <f t="shared" si="38"/>
        <v>906.64523534285752</v>
      </c>
      <c r="AO39" s="20">
        <f t="shared" si="38"/>
        <v>1001.9415212568607</v>
      </c>
      <c r="AP39" s="20">
        <v>952.37681311411916</v>
      </c>
      <c r="AQ39" s="20">
        <v>1150</v>
      </c>
      <c r="AR39" s="20">
        <f>+AR41+AR42</f>
        <v>1174.6311800154549</v>
      </c>
      <c r="AS39" s="20">
        <v>950.48982971991609</v>
      </c>
      <c r="AT39" s="20">
        <v>888.66200499877345</v>
      </c>
      <c r="AU39" s="20">
        <v>1168.5378808233431</v>
      </c>
      <c r="AV39" s="20">
        <v>987</v>
      </c>
      <c r="AW39" s="20">
        <v>817</v>
      </c>
      <c r="AX39" s="20">
        <f>+AX41+AX42</f>
        <v>849.70570569384483</v>
      </c>
      <c r="AY39" s="20">
        <f>+AY41+AY42</f>
        <v>1155.3559895691096</v>
      </c>
      <c r="AZ39" s="20">
        <f>+AZ41+AZ42</f>
        <v>964.0286759448469</v>
      </c>
      <c r="BA39" s="20">
        <f t="shared" ref="BA39:BB39" si="39">+BA41+BA42</f>
        <v>835.7186794293234</v>
      </c>
      <c r="BB39" s="20">
        <f t="shared" si="39"/>
        <v>876.16024172372158</v>
      </c>
    </row>
    <row r="40" spans="1:54" ht="6" customHeight="1">
      <c r="A40" s="53">
        <v>5</v>
      </c>
      <c r="E40" s="49"/>
      <c r="G40" s="53">
        <f t="shared" si="34"/>
        <v>5</v>
      </c>
      <c r="I40" s="29"/>
      <c r="J40" s="29"/>
      <c r="K40" s="29"/>
      <c r="L40" s="29"/>
      <c r="M40" s="29"/>
      <c r="N40" s="29"/>
      <c r="O40" s="29"/>
      <c r="P40" s="29"/>
    </row>
    <row r="41" spans="1:54">
      <c r="A41" s="53">
        <v>6</v>
      </c>
      <c r="B41" s="5" t="s">
        <v>160</v>
      </c>
      <c r="C41" s="21">
        <f>HLOOKUP($C$6,$H$36:$BI$51,$G41,FALSE)</f>
        <v>629.28588639168436</v>
      </c>
      <c r="D41" s="21">
        <f>HLOOKUP($D$6,$H$36:$BI$51,$G41,FALSE)</f>
        <v>791.23560620467583</v>
      </c>
      <c r="E41" s="44">
        <f>+D41/C41-1</f>
        <v>0.25735476246195299</v>
      </c>
      <c r="F41" s="49"/>
      <c r="G41" s="53">
        <f t="shared" si="34"/>
        <v>6</v>
      </c>
      <c r="H41" s="5" t="s">
        <v>160</v>
      </c>
      <c r="I41" s="30"/>
      <c r="J41" s="30"/>
      <c r="K41" s="30"/>
      <c r="L41" s="30"/>
      <c r="M41" s="30"/>
      <c r="N41" s="30"/>
      <c r="O41" s="30"/>
      <c r="P41" s="30"/>
      <c r="Q41" s="21">
        <v>896.15477393720892</v>
      </c>
      <c r="R41" s="21">
        <v>895</v>
      </c>
      <c r="S41" s="21">
        <v>660.8546595771212</v>
      </c>
      <c r="T41" s="21">
        <v>701.74175820562186</v>
      </c>
      <c r="U41" s="21">
        <v>670.14557932067135</v>
      </c>
      <c r="V41" s="21">
        <v>713</v>
      </c>
      <c r="W41" s="21">
        <v>808.7313863700075</v>
      </c>
      <c r="X41" s="21">
        <v>820.11765848199025</v>
      </c>
      <c r="Y41" s="21">
        <v>754.11900053134241</v>
      </c>
      <c r="Z41" s="21">
        <v>805.13023617018166</v>
      </c>
      <c r="AA41" s="21">
        <v>725.43641713442707</v>
      </c>
      <c r="AB41" s="21">
        <v>716.78307257861093</v>
      </c>
      <c r="AC41" s="21">
        <v>752.74025687093615</v>
      </c>
      <c r="AD41" s="21">
        <v>706.19687364754577</v>
      </c>
      <c r="AE41" s="21">
        <v>730.50346933265155</v>
      </c>
      <c r="AF41" s="21">
        <v>732.89679752741722</v>
      </c>
      <c r="AG41" s="21">
        <v>515.44411977188861</v>
      </c>
      <c r="AH41" s="21">
        <v>412.61388027848921</v>
      </c>
      <c r="AI41" s="21">
        <v>466.68086721477931</v>
      </c>
      <c r="AJ41" s="21">
        <v>489.79016563977711</v>
      </c>
      <c r="AK41" s="21">
        <v>509.42713583293488</v>
      </c>
      <c r="AL41" s="21">
        <v>503.87157825194322</v>
      </c>
      <c r="AM41" s="21">
        <v>506.87877990606654</v>
      </c>
      <c r="AN41" s="21">
        <v>525.56750682169206</v>
      </c>
      <c r="AO41" s="21">
        <v>617.02986788140606</v>
      </c>
      <c r="AP41" s="21">
        <v>589.54164912118472</v>
      </c>
      <c r="AQ41" s="21">
        <v>597.40086312962057</v>
      </c>
      <c r="AR41" s="21">
        <v>618.76980656410842</v>
      </c>
      <c r="AS41" s="21">
        <v>868.01545914077974</v>
      </c>
      <c r="AT41" s="21">
        <v>850.02894917809385</v>
      </c>
      <c r="AU41" s="21">
        <v>814</v>
      </c>
      <c r="AV41" s="21">
        <v>838.4</v>
      </c>
      <c r="AW41" s="21">
        <v>578</v>
      </c>
      <c r="AX41" s="21">
        <v>629.28588639168436</v>
      </c>
      <c r="AY41" s="21">
        <f>275+371</f>
        <v>646</v>
      </c>
      <c r="AZ41" s="21">
        <f>284+366</f>
        <v>650</v>
      </c>
      <c r="BA41" s="21">
        <v>804.67478702647952</v>
      </c>
      <c r="BB41" s="21">
        <v>791.23560620467583</v>
      </c>
    </row>
    <row r="42" spans="1:54">
      <c r="A42" s="53">
        <v>7</v>
      </c>
      <c r="B42" s="5" t="s">
        <v>147</v>
      </c>
      <c r="C42" s="21">
        <f t="shared" ref="C42:C51" si="40">HLOOKUP($C$6,$H$36:$BI$51,$G42,FALSE)</f>
        <v>220.41981930216045</v>
      </c>
      <c r="D42" s="21">
        <f t="shared" ref="D42:D51" si="41">HLOOKUP($D$6,$H$36:$BI$51,$G42,FALSE)</f>
        <v>84.924635519045751</v>
      </c>
      <c r="E42" s="105" t="s">
        <v>148</v>
      </c>
      <c r="G42" s="53">
        <f t="shared" si="34"/>
        <v>7</v>
      </c>
      <c r="H42" s="5" t="s">
        <v>147</v>
      </c>
      <c r="I42" s="30"/>
      <c r="J42" s="30"/>
      <c r="K42" s="30"/>
      <c r="L42" s="30"/>
      <c r="M42" s="30"/>
      <c r="N42" s="30"/>
      <c r="O42" s="30"/>
      <c r="P42" s="30"/>
      <c r="Q42" s="30">
        <v>0</v>
      </c>
      <c r="R42" s="21">
        <v>71.332581632997972</v>
      </c>
      <c r="S42" s="21">
        <v>270.61727116359646</v>
      </c>
      <c r="T42" s="21">
        <v>483.0232191752059</v>
      </c>
      <c r="U42" s="21">
        <v>118.68076863221151</v>
      </c>
      <c r="V42" s="21">
        <v>336</v>
      </c>
      <c r="W42" s="21">
        <v>354.58010644829352</v>
      </c>
      <c r="X42" s="21">
        <v>290.16367204930543</v>
      </c>
      <c r="Y42" s="21">
        <v>55.825968230559759</v>
      </c>
      <c r="Z42" s="21">
        <v>173.63322159405053</v>
      </c>
      <c r="AA42" s="21">
        <v>371.0847186405806</v>
      </c>
      <c r="AB42" s="21">
        <v>442.96485769998151</v>
      </c>
      <c r="AC42" s="21">
        <v>189.19375944107159</v>
      </c>
      <c r="AD42" s="21">
        <v>276.82251898229845</v>
      </c>
      <c r="AE42" s="21">
        <v>430.10112776056849</v>
      </c>
      <c r="AF42" s="21">
        <v>92.184780553459206</v>
      </c>
      <c r="AG42" s="21">
        <v>0</v>
      </c>
      <c r="AH42" s="21">
        <v>214.03908858142407</v>
      </c>
      <c r="AI42" s="21">
        <v>552.21832102011876</v>
      </c>
      <c r="AJ42" s="21">
        <v>476.18994898937126</v>
      </c>
      <c r="AK42" s="21">
        <v>51.536995755000873</v>
      </c>
      <c r="AL42" s="21">
        <v>373.99054771623867</v>
      </c>
      <c r="AM42" s="21">
        <v>676.72777739843013</v>
      </c>
      <c r="AN42" s="21">
        <v>381.07772852116545</v>
      </c>
      <c r="AO42" s="21">
        <v>384.91165337545465</v>
      </c>
      <c r="AP42" s="21">
        <v>362.83516399293444</v>
      </c>
      <c r="AQ42" s="21">
        <v>553</v>
      </c>
      <c r="AR42" s="21">
        <v>555.86137345134637</v>
      </c>
      <c r="AS42" s="21">
        <v>82.474370579136405</v>
      </c>
      <c r="AT42" s="21">
        <v>38.633055820679544</v>
      </c>
      <c r="AU42" s="21">
        <v>355</v>
      </c>
      <c r="AV42" s="21">
        <v>148.4</v>
      </c>
      <c r="AW42" s="21">
        <v>239.05418446802031</v>
      </c>
      <c r="AX42" s="21">
        <v>220.41981930216045</v>
      </c>
      <c r="AY42" s="21">
        <v>509.35598956910962</v>
      </c>
      <c r="AZ42" s="21">
        <v>314.0286759448469</v>
      </c>
      <c r="BA42" s="21">
        <v>31.043892402843881</v>
      </c>
      <c r="BB42" s="21">
        <v>84.924635519045751</v>
      </c>
    </row>
    <row r="43" spans="1:54" ht="6" customHeight="1">
      <c r="A43" s="53">
        <v>8</v>
      </c>
      <c r="C43" s="22">
        <f t="shared" si="40"/>
        <v>0</v>
      </c>
      <c r="D43" s="22">
        <f t="shared" si="41"/>
        <v>0</v>
      </c>
      <c r="E43" s="49"/>
      <c r="G43" s="53">
        <f t="shared" si="34"/>
        <v>8</v>
      </c>
      <c r="I43" s="29"/>
      <c r="J43" s="29"/>
      <c r="K43" s="29"/>
      <c r="L43" s="29"/>
      <c r="M43" s="29"/>
      <c r="N43" s="29"/>
      <c r="O43" s="29"/>
      <c r="P43" s="29"/>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row>
    <row r="44" spans="1:54">
      <c r="A44" s="53">
        <v>9</v>
      </c>
      <c r="B44" s="5" t="s">
        <v>149</v>
      </c>
      <c r="C44" s="21">
        <f t="shared" si="40"/>
        <v>568.47429751210348</v>
      </c>
      <c r="D44" s="21">
        <f t="shared" si="41"/>
        <v>566.27584076471294</v>
      </c>
      <c r="E44" s="105">
        <f t="shared" ref="E44" si="42">+D44/C44-1</f>
        <v>-3.8672931335892446E-3</v>
      </c>
      <c r="G44" s="53">
        <f t="shared" si="34"/>
        <v>9</v>
      </c>
      <c r="H44" s="5" t="s">
        <v>149</v>
      </c>
      <c r="I44" s="30"/>
      <c r="J44" s="30"/>
      <c r="K44" s="30"/>
      <c r="L44" s="30"/>
      <c r="M44" s="30"/>
      <c r="N44" s="30"/>
      <c r="O44" s="30"/>
      <c r="P44" s="30"/>
      <c r="Q44" s="21">
        <v>561</v>
      </c>
      <c r="R44" s="21">
        <v>561.85</v>
      </c>
      <c r="S44" s="21">
        <v>563</v>
      </c>
      <c r="T44" s="21">
        <v>563.79843672169034</v>
      </c>
      <c r="U44" s="21">
        <v>562.0491675086156</v>
      </c>
      <c r="V44" s="21">
        <v>555</v>
      </c>
      <c r="W44" s="21">
        <v>556.32527854111379</v>
      </c>
      <c r="X44" s="21">
        <v>553.79857139638716</v>
      </c>
      <c r="Y44" s="21">
        <v>551.44933226868807</v>
      </c>
      <c r="Z44" s="21">
        <v>550.05621080812159</v>
      </c>
      <c r="AA44" s="21">
        <v>552.75187275807718</v>
      </c>
      <c r="AB44" s="21">
        <v>553.50897294893377</v>
      </c>
      <c r="AC44" s="21">
        <v>554.83417320313413</v>
      </c>
      <c r="AD44" s="21">
        <v>556.62828233456105</v>
      </c>
      <c r="AE44" s="21">
        <v>430.10112776056849</v>
      </c>
      <c r="AF44" s="21">
        <v>558.47159496645133</v>
      </c>
      <c r="AG44" s="21">
        <v>557.94881104256535</v>
      </c>
      <c r="AH44" s="21">
        <v>559.66719784939505</v>
      </c>
      <c r="AI44" s="21">
        <v>558.44830965854737</v>
      </c>
      <c r="AJ44" s="21">
        <v>558.44795283732333</v>
      </c>
      <c r="AK44" s="21">
        <v>560.43931524796665</v>
      </c>
      <c r="AL44" s="21">
        <v>563.2322290763849</v>
      </c>
      <c r="AM44" s="21">
        <v>564.61862806833153</v>
      </c>
      <c r="AN44" s="21">
        <v>566.05694539025978</v>
      </c>
      <c r="AO44" s="21">
        <v>567.77232808725637</v>
      </c>
      <c r="AP44" s="21">
        <v>567.71736581526534</v>
      </c>
      <c r="AQ44" s="21">
        <v>570</v>
      </c>
      <c r="AR44" s="21">
        <v>569.88417776799838</v>
      </c>
      <c r="AS44" s="21">
        <v>570.01257505399542</v>
      </c>
      <c r="AT44" s="21">
        <v>569.84318797499998</v>
      </c>
      <c r="AU44" s="21">
        <v>570</v>
      </c>
      <c r="AV44" s="21">
        <v>570</v>
      </c>
      <c r="AW44" s="21">
        <v>571</v>
      </c>
      <c r="AX44" s="21">
        <v>568.47429751210348</v>
      </c>
      <c r="AY44" s="21">
        <v>568</v>
      </c>
      <c r="AZ44" s="21">
        <v>566.82221005281372</v>
      </c>
      <c r="BA44" s="21">
        <v>566.08392881970701</v>
      </c>
      <c r="BB44" s="21">
        <v>566.27584076471294</v>
      </c>
    </row>
    <row r="45" spans="1:54" ht="12.75" customHeight="1">
      <c r="A45" s="53">
        <v>10</v>
      </c>
      <c r="E45" s="49"/>
      <c r="G45" s="53">
        <f t="shared" si="34"/>
        <v>10</v>
      </c>
      <c r="I45" s="29"/>
      <c r="J45" s="29"/>
      <c r="K45" s="29"/>
      <c r="L45" s="29"/>
      <c r="M45" s="29"/>
      <c r="N45" s="29"/>
      <c r="O45" s="29"/>
      <c r="P45" s="29"/>
    </row>
    <row r="46" spans="1:54">
      <c r="A46" s="53">
        <v>11</v>
      </c>
      <c r="B46" s="6" t="s">
        <v>150</v>
      </c>
      <c r="C46" s="20">
        <f t="shared" si="40"/>
        <v>864.50316103526006</v>
      </c>
      <c r="D46" s="20">
        <f t="shared" si="41"/>
        <v>668.98034241482674</v>
      </c>
      <c r="E46" s="63">
        <f>D46/C46-1</f>
        <v>-0.22616784695881365</v>
      </c>
      <c r="G46" s="53">
        <f t="shared" si="34"/>
        <v>11</v>
      </c>
      <c r="H46" s="6" t="s">
        <v>150</v>
      </c>
      <c r="I46" s="28"/>
      <c r="J46" s="28"/>
      <c r="K46" s="28"/>
      <c r="L46" s="28"/>
      <c r="M46" s="28"/>
      <c r="N46" s="28"/>
      <c r="O46" s="28"/>
      <c r="P46" s="28"/>
      <c r="Q46" s="20">
        <v>663</v>
      </c>
      <c r="R46" s="20">
        <v>800</v>
      </c>
      <c r="S46" s="20">
        <v>906.60296019489226</v>
      </c>
      <c r="T46" s="20">
        <v>1211</v>
      </c>
      <c r="U46" s="20">
        <v>715.32866794394647</v>
      </c>
      <c r="V46" s="20">
        <v>1074</v>
      </c>
      <c r="W46" s="20">
        <v>1188.0124632138675</v>
      </c>
      <c r="X46" s="20">
        <f t="shared" ref="X46:AP46" si="43">X48</f>
        <v>1135.4340123571928</v>
      </c>
      <c r="Y46" s="20">
        <f t="shared" si="43"/>
        <v>604.51495743320493</v>
      </c>
      <c r="Z46" s="20">
        <f t="shared" si="43"/>
        <v>1002.3766853551615</v>
      </c>
      <c r="AA46" s="20">
        <f t="shared" si="43"/>
        <v>1120.5979260393226</v>
      </c>
      <c r="AB46" s="20">
        <f t="shared" si="43"/>
        <v>1186.0360253896108</v>
      </c>
      <c r="AC46" s="20">
        <f t="shared" si="43"/>
        <v>931.62044726669956</v>
      </c>
      <c r="AD46" s="20">
        <f t="shared" si="43"/>
        <v>937.26247630600551</v>
      </c>
      <c r="AE46" s="20">
        <f t="shared" si="43"/>
        <v>1185.39815986183</v>
      </c>
      <c r="AF46" s="20">
        <f t="shared" si="43"/>
        <v>713.17974191683015</v>
      </c>
      <c r="AG46" s="20">
        <f t="shared" si="43"/>
        <v>343.09821429481127</v>
      </c>
      <c r="AH46" s="20">
        <f t="shared" si="43"/>
        <v>512.9721762170193</v>
      </c>
      <c r="AI46" s="20">
        <f t="shared" si="43"/>
        <v>1041.8325739005161</v>
      </c>
      <c r="AJ46" s="20">
        <f t="shared" si="43"/>
        <v>989.03271813771471</v>
      </c>
      <c r="AK46" s="20">
        <f t="shared" si="43"/>
        <v>520.66747253658468</v>
      </c>
      <c r="AL46" s="20">
        <f t="shared" si="43"/>
        <v>778.16852065162254</v>
      </c>
      <c r="AM46" s="20">
        <f t="shared" si="43"/>
        <v>1210.0593126671508</v>
      </c>
      <c r="AN46" s="20">
        <f t="shared" si="43"/>
        <v>930.07540105793123</v>
      </c>
      <c r="AO46" s="20">
        <f t="shared" si="43"/>
        <v>1027.2936049546111</v>
      </c>
      <c r="AP46" s="20">
        <f t="shared" si="43"/>
        <v>929.45667144024651</v>
      </c>
      <c r="AQ46" s="20">
        <v>1176</v>
      </c>
      <c r="AR46" s="20">
        <f>+AR48</f>
        <v>1201.6747256588701</v>
      </c>
      <c r="AS46" s="20">
        <v>969.29690750710495</v>
      </c>
      <c r="AT46" s="20">
        <v>337.51918882592179</v>
      </c>
      <c r="AU46" s="20">
        <v>1197.2523524512408</v>
      </c>
      <c r="AV46" s="20">
        <f>AV48</f>
        <v>900</v>
      </c>
      <c r="AW46" s="20">
        <f>AW48</f>
        <v>771</v>
      </c>
      <c r="AX46" s="20">
        <f>+AX48</f>
        <v>864.50316103526006</v>
      </c>
      <c r="AY46" s="20">
        <f>+AY48</f>
        <v>1181</v>
      </c>
      <c r="AZ46" s="20">
        <f>+AZ48</f>
        <v>988.35416987730935</v>
      </c>
      <c r="BA46" s="20">
        <f t="shared" ref="BA46:BB46" si="44">+BA48</f>
        <v>828.67591197789409</v>
      </c>
      <c r="BB46" s="20">
        <f t="shared" si="44"/>
        <v>668.98034241482674</v>
      </c>
    </row>
    <row r="47" spans="1:54" ht="6" customHeight="1">
      <c r="A47" s="53">
        <v>12</v>
      </c>
      <c r="E47" s="49"/>
      <c r="G47" s="53">
        <f t="shared" si="34"/>
        <v>12</v>
      </c>
      <c r="I47" s="29"/>
      <c r="J47" s="29"/>
      <c r="K47" s="29"/>
      <c r="L47" s="29"/>
      <c r="M47" s="29"/>
      <c r="N47" s="29"/>
      <c r="O47" s="29"/>
      <c r="P47" s="29"/>
    </row>
    <row r="48" spans="1:54">
      <c r="A48" s="53">
        <v>13</v>
      </c>
      <c r="B48" s="5" t="s">
        <v>161</v>
      </c>
      <c r="C48" s="21">
        <f t="shared" si="40"/>
        <v>864.50316103526006</v>
      </c>
      <c r="D48" s="21">
        <f t="shared" si="41"/>
        <v>668.98034241482674</v>
      </c>
      <c r="E48" s="44">
        <f>+D48/C48-1</f>
        <v>-0.22616784695881365</v>
      </c>
      <c r="G48" s="53">
        <f t="shared" si="34"/>
        <v>13</v>
      </c>
      <c r="H48" s="5" t="s">
        <v>161</v>
      </c>
      <c r="I48" s="30"/>
      <c r="J48" s="30"/>
      <c r="K48" s="30"/>
      <c r="L48" s="30"/>
      <c r="M48" s="30"/>
      <c r="N48" s="30"/>
      <c r="O48" s="30"/>
      <c r="P48" s="30"/>
      <c r="Q48" s="21">
        <v>663</v>
      </c>
      <c r="R48" s="21">
        <v>800</v>
      </c>
      <c r="S48" s="21">
        <v>906.60296019489226</v>
      </c>
      <c r="T48" s="21">
        <v>1211</v>
      </c>
      <c r="U48" s="21">
        <v>715.32866794394647</v>
      </c>
      <c r="V48" s="21">
        <v>1074</v>
      </c>
      <c r="W48" s="21">
        <v>1188.0124632138675</v>
      </c>
      <c r="X48" s="21">
        <v>1135.4340123571928</v>
      </c>
      <c r="Y48" s="21">
        <v>604.51495743320493</v>
      </c>
      <c r="Z48" s="21">
        <v>1002.3766853551615</v>
      </c>
      <c r="AA48" s="21">
        <v>1120.5979260393226</v>
      </c>
      <c r="AB48" s="21">
        <v>1186.0360253896108</v>
      </c>
      <c r="AC48" s="21">
        <v>931.62044726669956</v>
      </c>
      <c r="AD48" s="21">
        <v>937.26247630600551</v>
      </c>
      <c r="AE48" s="21">
        <v>1185.39815986183</v>
      </c>
      <c r="AF48" s="21">
        <v>713.17974191683015</v>
      </c>
      <c r="AG48" s="21">
        <v>343.09821429481127</v>
      </c>
      <c r="AH48" s="21">
        <v>512.9721762170193</v>
      </c>
      <c r="AI48" s="21">
        <v>1041.8325739005161</v>
      </c>
      <c r="AJ48" s="21">
        <v>989.03271813771471</v>
      </c>
      <c r="AK48" s="21">
        <v>520.66747253658468</v>
      </c>
      <c r="AL48" s="21">
        <v>778.16852065162254</v>
      </c>
      <c r="AM48" s="21">
        <v>1210.0593126671508</v>
      </c>
      <c r="AN48" s="21">
        <v>930.07540105793123</v>
      </c>
      <c r="AO48" s="21">
        <v>1027.2936049546111</v>
      </c>
      <c r="AP48" s="21">
        <v>929.45667144024651</v>
      </c>
      <c r="AQ48" s="21">
        <v>1176</v>
      </c>
      <c r="AR48" s="21">
        <v>1201.6747256588701</v>
      </c>
      <c r="AS48" s="21">
        <v>969.29690750710495</v>
      </c>
      <c r="AT48" s="21">
        <v>337.51918882592179</v>
      </c>
      <c r="AU48" s="21">
        <v>1197.2523524512408</v>
      </c>
      <c r="AV48" s="21">
        <v>900</v>
      </c>
      <c r="AW48" s="21">
        <v>771</v>
      </c>
      <c r="AX48" s="21">
        <v>864.50316103526006</v>
      </c>
      <c r="AY48" s="21">
        <v>1181</v>
      </c>
      <c r="AZ48" s="21">
        <v>988.35416987730935</v>
      </c>
      <c r="BA48" s="21">
        <v>828.67591197789409</v>
      </c>
      <c r="BB48" s="21">
        <v>668.98034241482674</v>
      </c>
    </row>
    <row r="49" spans="1:54">
      <c r="A49" s="53">
        <v>14</v>
      </c>
      <c r="B49" s="5" t="s">
        <v>158</v>
      </c>
      <c r="C49" s="57">
        <f t="shared" si="40"/>
        <v>7.0900601357258211</v>
      </c>
      <c r="D49" s="57">
        <f t="shared" si="41"/>
        <v>226.44822533615456</v>
      </c>
      <c r="E49" s="106" t="s">
        <v>148</v>
      </c>
      <c r="G49" s="53">
        <f t="shared" si="34"/>
        <v>14</v>
      </c>
      <c r="H49" s="5" t="s">
        <v>158</v>
      </c>
      <c r="I49" s="30"/>
      <c r="J49" s="30"/>
      <c r="K49" s="30"/>
      <c r="L49" s="30"/>
      <c r="M49" s="30"/>
      <c r="N49" s="30"/>
      <c r="O49" s="30"/>
      <c r="P49" s="30"/>
      <c r="Q49" s="21">
        <v>117.26579863620114</v>
      </c>
      <c r="R49" s="21">
        <v>146.8918117608051</v>
      </c>
      <c r="S49" s="21">
        <v>46.406399015580696</v>
      </c>
      <c r="T49" s="26">
        <v>0</v>
      </c>
      <c r="U49" s="21">
        <v>92.800363549785231</v>
      </c>
      <c r="V49" s="26">
        <v>0</v>
      </c>
      <c r="W49" s="26">
        <v>0</v>
      </c>
      <c r="X49" s="26">
        <v>0</v>
      </c>
      <c r="Y49" s="26">
        <v>209.5338502374496</v>
      </c>
      <c r="Z49" s="26">
        <v>0</v>
      </c>
      <c r="AA49" s="26">
        <v>0</v>
      </c>
      <c r="AB49" s="26">
        <v>0</v>
      </c>
      <c r="AC49" s="26">
        <v>33.27100362594868</v>
      </c>
      <c r="AD49" s="26">
        <v>67.834889965652422</v>
      </c>
      <c r="AE49" s="26">
        <v>0</v>
      </c>
      <c r="AF49" s="26">
        <v>130.70588047518626</v>
      </c>
      <c r="AG49" s="26">
        <v>185.6060478259773</v>
      </c>
      <c r="AH49" s="26">
        <v>127.77895410268108</v>
      </c>
      <c r="AI49" s="26">
        <v>0</v>
      </c>
      <c r="AJ49" s="26">
        <v>0</v>
      </c>
      <c r="AK49" s="26">
        <v>57.645095655213254</v>
      </c>
      <c r="AL49" s="26">
        <v>120.04272042266</v>
      </c>
      <c r="AM49" s="26">
        <v>0</v>
      </c>
      <c r="AN49" s="26">
        <v>0</v>
      </c>
      <c r="AO49" s="57">
        <v>0</v>
      </c>
      <c r="AP49" s="57">
        <v>44.494576904377624</v>
      </c>
      <c r="AQ49" s="57">
        <v>0</v>
      </c>
      <c r="AR49" s="57"/>
      <c r="AS49" s="57">
        <v>5</v>
      </c>
      <c r="AT49" s="57">
        <v>562.27625532073023</v>
      </c>
      <c r="AU49" s="57">
        <v>0</v>
      </c>
      <c r="AV49" s="57">
        <v>109</v>
      </c>
      <c r="AW49" s="57">
        <v>66</v>
      </c>
      <c r="AX49" s="57">
        <v>7.0900601357258211</v>
      </c>
      <c r="AY49" s="57">
        <v>0</v>
      </c>
      <c r="AZ49" s="57">
        <v>0</v>
      </c>
      <c r="BA49" s="57">
        <v>30.965941145600709</v>
      </c>
      <c r="BB49" s="57">
        <v>226.44822533615456</v>
      </c>
    </row>
    <row r="50" spans="1:54" ht="6" customHeight="1">
      <c r="A50" s="53">
        <v>15</v>
      </c>
      <c r="C50" s="22">
        <f t="shared" si="40"/>
        <v>0</v>
      </c>
      <c r="D50" s="22">
        <f t="shared" si="41"/>
        <v>0</v>
      </c>
      <c r="E50" s="49"/>
      <c r="G50" s="53">
        <f t="shared" si="34"/>
        <v>15</v>
      </c>
      <c r="I50" s="29"/>
      <c r="J50" s="29"/>
      <c r="K50" s="29"/>
      <c r="L50" s="29"/>
      <c r="M50" s="29"/>
      <c r="N50" s="29"/>
      <c r="O50" s="29"/>
      <c r="P50" s="29"/>
      <c r="Q50" s="22"/>
      <c r="R50" s="22"/>
      <c r="S50" s="22"/>
      <c r="T50" s="22"/>
      <c r="U50" s="22"/>
      <c r="V50" s="22"/>
      <c r="W50" s="22"/>
      <c r="X50" s="22"/>
      <c r="Y50" s="22"/>
      <c r="Z50" s="22"/>
      <c r="AA50" s="22"/>
      <c r="AB50" s="22">
        <v>0</v>
      </c>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row>
    <row r="51" spans="1:54">
      <c r="A51" s="53">
        <v>16</v>
      </c>
      <c r="B51" s="79" t="s">
        <v>159</v>
      </c>
      <c r="C51" s="23">
        <f t="shared" si="40"/>
        <v>213.32975916643463</v>
      </c>
      <c r="D51" s="23">
        <f t="shared" si="41"/>
        <v>-141.52358981710881</v>
      </c>
      <c r="E51" s="107" t="s">
        <v>148</v>
      </c>
      <c r="G51" s="53">
        <f t="shared" si="34"/>
        <v>16</v>
      </c>
      <c r="H51" s="19" t="s">
        <v>159</v>
      </c>
      <c r="I51" s="31"/>
      <c r="J51" s="31"/>
      <c r="K51" s="31"/>
      <c r="L51" s="31"/>
      <c r="M51" s="31"/>
      <c r="N51" s="31"/>
      <c r="O51" s="31"/>
      <c r="P51" s="31"/>
      <c r="Q51" s="23">
        <v>-117.26579863620114</v>
      </c>
      <c r="R51" s="23">
        <v>-75.559230127807126</v>
      </c>
      <c r="S51" s="23">
        <v>224.21087214801599</v>
      </c>
      <c r="T51" s="23">
        <v>483.0232191752059</v>
      </c>
      <c r="U51" s="23">
        <v>25.880405082426279</v>
      </c>
      <c r="V51" s="23">
        <v>336</v>
      </c>
      <c r="W51" s="23">
        <v>354.58010644829352</v>
      </c>
      <c r="X51" s="23">
        <v>355.58010644829398</v>
      </c>
      <c r="Y51" s="23">
        <v>-153.70788200688983</v>
      </c>
      <c r="Z51" s="23">
        <f t="shared" ref="Z51:AP51" si="45">Z42-Z49</f>
        <v>173.63322159405053</v>
      </c>
      <c r="AA51" s="23">
        <f t="shared" si="45"/>
        <v>371.0847186405806</v>
      </c>
      <c r="AB51" s="23">
        <f t="shared" si="45"/>
        <v>442.96485769998151</v>
      </c>
      <c r="AC51" s="23">
        <f t="shared" si="45"/>
        <v>155.92275581512291</v>
      </c>
      <c r="AD51" s="23">
        <f t="shared" si="45"/>
        <v>208.98762901664603</v>
      </c>
      <c r="AE51" s="23">
        <f t="shared" si="45"/>
        <v>430.10112776056849</v>
      </c>
      <c r="AF51" s="23">
        <f t="shared" si="45"/>
        <v>-38.521099921727057</v>
      </c>
      <c r="AG51" s="23">
        <f t="shared" si="45"/>
        <v>-185.6060478259773</v>
      </c>
      <c r="AH51" s="23">
        <f t="shared" si="45"/>
        <v>86.260134478742984</v>
      </c>
      <c r="AI51" s="23">
        <f t="shared" si="45"/>
        <v>552.21832102011876</v>
      </c>
      <c r="AJ51" s="23">
        <f t="shared" si="45"/>
        <v>476.18994898937126</v>
      </c>
      <c r="AK51" s="23">
        <f t="shared" si="45"/>
        <v>-6.1080999002123804</v>
      </c>
      <c r="AL51" s="23">
        <f t="shared" si="45"/>
        <v>253.94782729357865</v>
      </c>
      <c r="AM51" s="23">
        <f t="shared" si="45"/>
        <v>676.72777739843013</v>
      </c>
      <c r="AN51" s="23">
        <f t="shared" si="45"/>
        <v>381.07772852116545</v>
      </c>
      <c r="AO51" s="23">
        <f t="shared" si="45"/>
        <v>384.91165337545465</v>
      </c>
      <c r="AP51" s="23">
        <f t="shared" si="45"/>
        <v>318.34058708855684</v>
      </c>
      <c r="AQ51" s="23">
        <f t="shared" ref="AQ51" si="46">AQ42-AQ49</f>
        <v>553</v>
      </c>
      <c r="AR51" s="23">
        <f>+AR42-AR49</f>
        <v>555.86137345134637</v>
      </c>
      <c r="AS51" s="23">
        <v>77.474370579136405</v>
      </c>
      <c r="AT51" s="23">
        <v>-523.64319950005074</v>
      </c>
      <c r="AU51" s="23">
        <v>355</v>
      </c>
      <c r="AV51" s="23">
        <v>39</v>
      </c>
      <c r="AW51" s="23">
        <v>173.05418446802031</v>
      </c>
      <c r="AX51" s="23">
        <f>+AX42-AX49</f>
        <v>213.32975916643463</v>
      </c>
      <c r="AY51" s="23">
        <f>+AY42-AY49</f>
        <v>509.35598956910962</v>
      </c>
      <c r="AZ51" s="23">
        <v>314.0286759448469</v>
      </c>
      <c r="BA51" s="23">
        <f>BA42-BA49</f>
        <v>7.7951257243171312E-2</v>
      </c>
      <c r="BB51" s="23">
        <f>BB42-BB49</f>
        <v>-141.52358981710881</v>
      </c>
    </row>
    <row r="53" spans="1:54">
      <c r="B53" s="1" t="s">
        <v>162</v>
      </c>
    </row>
  </sheetData>
  <mergeCells count="98">
    <mergeCell ref="AY6:AY7"/>
    <mergeCell ref="AY36:AY37"/>
    <mergeCell ref="AV6:AV7"/>
    <mergeCell ref="AV36:AV37"/>
    <mergeCell ref="AS6:AS7"/>
    <mergeCell ref="AX6:AX7"/>
    <mergeCell ref="AX36:AX37"/>
    <mergeCell ref="AW6:AW7"/>
    <mergeCell ref="AW36:AW37"/>
    <mergeCell ref="AR6:AR7"/>
    <mergeCell ref="AR36:AR37"/>
    <mergeCell ref="AS36:AS37"/>
    <mergeCell ref="AU6:AU7"/>
    <mergeCell ref="AU36:AU37"/>
    <mergeCell ref="AT6:AT7"/>
    <mergeCell ref="AT36:AT37"/>
    <mergeCell ref="AQ36:AQ37"/>
    <mergeCell ref="AO6:AO7"/>
    <mergeCell ref="AO36:AO37"/>
    <mergeCell ref="AQ6:AQ7"/>
    <mergeCell ref="AP6:AP7"/>
    <mergeCell ref="AP36:AP37"/>
    <mergeCell ref="AA6:AA7"/>
    <mergeCell ref="AA36:AA37"/>
    <mergeCell ref="AB6:AB7"/>
    <mergeCell ref="AB36:AB37"/>
    <mergeCell ref="AE6:AE7"/>
    <mergeCell ref="AE36:AE37"/>
    <mergeCell ref="AD6:AD7"/>
    <mergeCell ref="AD36:AD37"/>
    <mergeCell ref="AC6:AC7"/>
    <mergeCell ref="AC36:AC37"/>
    <mergeCell ref="AJ6:AJ7"/>
    <mergeCell ref="AJ36:AJ37"/>
    <mergeCell ref="AF6:AF7"/>
    <mergeCell ref="AF36:AF37"/>
    <mergeCell ref="AL6:AL7"/>
    <mergeCell ref="AL36:AL37"/>
    <mergeCell ref="AK6:AK7"/>
    <mergeCell ref="AK36:AK37"/>
    <mergeCell ref="AI6:AI7"/>
    <mergeCell ref="AI36:AI37"/>
    <mergeCell ref="AH6:AH7"/>
    <mergeCell ref="AH36:AH37"/>
    <mergeCell ref="AG6:AG7"/>
    <mergeCell ref="AG36:AG37"/>
    <mergeCell ref="C36:C37"/>
    <mergeCell ref="D36:D37"/>
    <mergeCell ref="E36:E37"/>
    <mergeCell ref="I36:I37"/>
    <mergeCell ref="J36:J37"/>
    <mergeCell ref="C6:C7"/>
    <mergeCell ref="D6:D7"/>
    <mergeCell ref="E6:E7"/>
    <mergeCell ref="I6:I7"/>
    <mergeCell ref="J6:J7"/>
    <mergeCell ref="O36:O37"/>
    <mergeCell ref="P36:P37"/>
    <mergeCell ref="T6:T7"/>
    <mergeCell ref="L6:L7"/>
    <mergeCell ref="M6:M7"/>
    <mergeCell ref="N6:N7"/>
    <mergeCell ref="O6:O7"/>
    <mergeCell ref="P6:P7"/>
    <mergeCell ref="Q36:Q37"/>
    <mergeCell ref="R36:R37"/>
    <mergeCell ref="S36:S37"/>
    <mergeCell ref="T36:T37"/>
    <mergeCell ref="Q6:Q7"/>
    <mergeCell ref="R6:R7"/>
    <mergeCell ref="S6:S7"/>
    <mergeCell ref="K36:K37"/>
    <mergeCell ref="K6:K7"/>
    <mergeCell ref="L36:L37"/>
    <mergeCell ref="M36:M37"/>
    <mergeCell ref="N36:N37"/>
    <mergeCell ref="U36:U37"/>
    <mergeCell ref="AN6:AN7"/>
    <mergeCell ref="AN36:AN37"/>
    <mergeCell ref="U6:U7"/>
    <mergeCell ref="Y6:Y7"/>
    <mergeCell ref="Y36:Y37"/>
    <mergeCell ref="V36:V37"/>
    <mergeCell ref="V6:V7"/>
    <mergeCell ref="W6:W7"/>
    <mergeCell ref="X6:X7"/>
    <mergeCell ref="X36:X37"/>
    <mergeCell ref="W36:W37"/>
    <mergeCell ref="Z6:Z7"/>
    <mergeCell ref="Z36:Z37"/>
    <mergeCell ref="AM6:AM7"/>
    <mergeCell ref="AM36:AM37"/>
    <mergeCell ref="BA6:BA7"/>
    <mergeCell ref="BB6:BB7"/>
    <mergeCell ref="BA36:BA37"/>
    <mergeCell ref="BB36:BB37"/>
    <mergeCell ref="AZ36:AZ37"/>
    <mergeCell ref="AZ6:AZ7"/>
  </mergeCells>
  <phoneticPr fontId="14" type="noConversion"/>
  <pageMargins left="0.7" right="0.7" top="0.75" bottom="0.75" header="0.3" footer="0.3"/>
  <pageSetup orientation="portrait" r:id="rId1"/>
  <ignoredErrors>
    <ignoredError sqref="I24 J24:AG24 AK24 AH24:AJ24 AL24:AM24 AP24:AU24 AV9 AY24:AZ24" formulaRange="1"/>
    <ignoredError sqref="AN24:AO24"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79998168889431442"/>
  </sheetPr>
  <dimension ref="A3:AP50"/>
  <sheetViews>
    <sheetView zoomScaleNormal="100" workbookViewId="0">
      <selection activeCell="F13" sqref="F13"/>
    </sheetView>
  </sheetViews>
  <sheetFormatPr defaultColWidth="11.42578125" defaultRowHeight="15"/>
  <cols>
    <col min="1" max="1" width="3" style="1" bestFit="1" customWidth="1"/>
    <col min="2" max="2" width="58" style="1" bestFit="1" customWidth="1"/>
    <col min="3" max="4" width="8.42578125" style="1" bestFit="1" customWidth="1"/>
    <col min="5" max="5" width="7.5703125" style="1" bestFit="1" customWidth="1"/>
    <col min="6" max="6" width="11.42578125" style="1"/>
    <col min="7" max="7" width="3" style="53" bestFit="1" customWidth="1"/>
    <col min="8" max="8" width="58" style="1" bestFit="1" customWidth="1"/>
    <col min="9" max="42" width="8.42578125" style="1" bestFit="1" customWidth="1"/>
    <col min="43" max="16384" width="11.42578125" style="1"/>
  </cols>
  <sheetData>
    <row r="3" spans="1:42">
      <c r="X3" s="74"/>
    </row>
    <row r="4" spans="1:42" ht="23.25">
      <c r="B4" s="11" t="s">
        <v>163</v>
      </c>
      <c r="C4" s="12"/>
      <c r="D4" s="12"/>
      <c r="E4" s="12"/>
      <c r="H4" s="11" t="s">
        <v>163</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42" ht="8.25" customHeight="1"/>
    <row r="6" spans="1:42" s="123" customFormat="1" ht="15.75" customHeight="1">
      <c r="A6" s="124">
        <v>1</v>
      </c>
      <c r="B6" s="3" t="s">
        <v>164</v>
      </c>
      <c r="C6" s="134" t="s">
        <v>141</v>
      </c>
      <c r="D6" s="134" t="s">
        <v>237</v>
      </c>
      <c r="E6" s="134" t="s">
        <v>100</v>
      </c>
      <c r="G6" s="124">
        <v>1</v>
      </c>
      <c r="H6" s="3" t="s">
        <v>164</v>
      </c>
      <c r="I6" s="134" t="s">
        <v>113</v>
      </c>
      <c r="J6" s="134" t="s">
        <v>114</v>
      </c>
      <c r="K6" s="134" t="s">
        <v>115</v>
      </c>
      <c r="L6" s="134" t="s">
        <v>116</v>
      </c>
      <c r="M6" s="134" t="s">
        <v>117</v>
      </c>
      <c r="N6" s="134" t="s">
        <v>118</v>
      </c>
      <c r="O6" s="134" t="s">
        <v>119</v>
      </c>
      <c r="P6" s="134" t="s">
        <v>120</v>
      </c>
      <c r="Q6" s="134" t="s">
        <v>121</v>
      </c>
      <c r="R6" s="134" t="s">
        <v>165</v>
      </c>
      <c r="S6" s="134" t="s">
        <v>123</v>
      </c>
      <c r="T6" s="134" t="s">
        <v>124</v>
      </c>
      <c r="U6" s="134" t="s">
        <v>125</v>
      </c>
      <c r="V6" s="134" t="s">
        <v>126</v>
      </c>
      <c r="W6" s="134" t="s">
        <v>127</v>
      </c>
      <c r="X6" s="134" t="s">
        <v>128</v>
      </c>
      <c r="Y6" s="134" t="s">
        <v>129</v>
      </c>
      <c r="Z6" s="134" t="s">
        <v>130</v>
      </c>
      <c r="AA6" s="134" t="s">
        <v>131</v>
      </c>
      <c r="AB6" s="134" t="s">
        <v>132</v>
      </c>
      <c r="AC6" s="134" t="s">
        <v>133</v>
      </c>
      <c r="AD6" s="134" t="s">
        <v>134</v>
      </c>
      <c r="AE6" s="134" t="s">
        <v>135</v>
      </c>
      <c r="AF6" s="134" t="s">
        <v>136</v>
      </c>
      <c r="AG6" s="134" t="s">
        <v>137</v>
      </c>
      <c r="AH6" s="134" t="s">
        <v>138</v>
      </c>
      <c r="AI6" s="134" t="s">
        <v>139</v>
      </c>
      <c r="AJ6" s="134" t="s">
        <v>98</v>
      </c>
      <c r="AK6" s="134" t="s">
        <v>140</v>
      </c>
      <c r="AL6" s="134" t="s">
        <v>141</v>
      </c>
      <c r="AM6" s="134" t="s">
        <v>142</v>
      </c>
      <c r="AN6" s="134" t="s">
        <v>99</v>
      </c>
      <c r="AO6" s="134" t="s">
        <v>236</v>
      </c>
      <c r="AP6" s="134" t="s">
        <v>237</v>
      </c>
    </row>
    <row r="7" spans="1:42" s="123" customFormat="1">
      <c r="A7" s="124">
        <v>2</v>
      </c>
      <c r="B7" s="3" t="s">
        <v>166</v>
      </c>
      <c r="C7" s="134"/>
      <c r="D7" s="134"/>
      <c r="E7" s="134"/>
      <c r="G7" s="124">
        <f>G6+1</f>
        <v>2</v>
      </c>
      <c r="H7" s="3" t="s">
        <v>166</v>
      </c>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row>
    <row r="8" spans="1:42" ht="6.75" customHeight="1">
      <c r="A8" s="53">
        <v>3</v>
      </c>
      <c r="G8" s="53">
        <f t="shared" ref="G8:G46" si="0">G7+1</f>
        <v>3</v>
      </c>
    </row>
    <row r="9" spans="1:42">
      <c r="A9" s="53">
        <v>4</v>
      </c>
      <c r="B9" s="2" t="s">
        <v>167</v>
      </c>
      <c r="C9" s="70">
        <f>HLOOKUP($C$6,$H$6:$BX$46,$G9,FALSE)</f>
        <v>425.52260173931501</v>
      </c>
      <c r="D9" s="70">
        <f>HLOOKUP($D$6,$H$6:$BX$46,$G9,FALSE)</f>
        <v>402.56421763839415</v>
      </c>
      <c r="E9" s="34">
        <f>D9/C9-1</f>
        <v>-5.3953383456199377E-2</v>
      </c>
      <c r="G9" s="53">
        <f t="shared" si="0"/>
        <v>4</v>
      </c>
      <c r="H9" s="2" t="s">
        <v>167</v>
      </c>
      <c r="I9" s="9">
        <f t="shared" ref="I9:AA9" si="1">SUM(I10:I11)</f>
        <v>382.04352459</v>
      </c>
      <c r="J9" s="9">
        <f t="shared" si="1"/>
        <v>393.52543853000003</v>
      </c>
      <c r="K9" s="9">
        <f t="shared" si="1"/>
        <v>384.01442531999993</v>
      </c>
      <c r="L9" s="9">
        <f t="shared" si="1"/>
        <v>388.82864637</v>
      </c>
      <c r="M9" s="9">
        <f t="shared" si="1"/>
        <v>406.61819793000001</v>
      </c>
      <c r="N9" s="9">
        <f t="shared" si="1"/>
        <v>400.79995629000001</v>
      </c>
      <c r="O9" s="9">
        <f t="shared" si="1"/>
        <v>360.15103961</v>
      </c>
      <c r="P9" s="9">
        <f>+P10+P11</f>
        <v>385.69629868999999</v>
      </c>
      <c r="Q9" s="9">
        <f t="shared" si="1"/>
        <v>383.05666324999999</v>
      </c>
      <c r="R9" s="9">
        <f t="shared" si="1"/>
        <v>390.46938418000002</v>
      </c>
      <c r="S9" s="9">
        <f t="shared" si="1"/>
        <v>361.71204583999997</v>
      </c>
      <c r="T9" s="9">
        <f t="shared" si="1"/>
        <v>352.06973197216138</v>
      </c>
      <c r="U9" s="9">
        <f t="shared" si="1"/>
        <v>342.61029194000002</v>
      </c>
      <c r="V9" s="9">
        <f t="shared" si="1"/>
        <v>326.51433945999997</v>
      </c>
      <c r="W9" s="9">
        <f t="shared" si="1"/>
        <v>344.00239963000001</v>
      </c>
      <c r="X9" s="9">
        <f t="shared" si="1"/>
        <v>335.74076198907102</v>
      </c>
      <c r="Y9" s="9">
        <f t="shared" si="1"/>
        <v>335.58527098945598</v>
      </c>
      <c r="Z9" s="9">
        <f t="shared" si="1"/>
        <v>372.16881775544198</v>
      </c>
      <c r="AA9" s="9">
        <f t="shared" si="1"/>
        <v>357.07761227968302</v>
      </c>
      <c r="AB9" s="9">
        <f>SUM(AB10:AB11)</f>
        <v>374.91242898228433</v>
      </c>
      <c r="AC9" s="9">
        <f>SUM(AC10:AC11)</f>
        <v>416.83105583738285</v>
      </c>
      <c r="AD9" s="70">
        <f>SUM(AD10:AD11)</f>
        <v>513.95137935606238</v>
      </c>
      <c r="AE9" s="70">
        <v>488.1792009022243</v>
      </c>
      <c r="AF9" s="70">
        <f>+AF10+AF11</f>
        <v>555.05677058927199</v>
      </c>
      <c r="AG9" s="70">
        <v>554.58970457266503</v>
      </c>
      <c r="AH9" s="70">
        <v>546.00599498124291</v>
      </c>
      <c r="AI9" s="70">
        <v>493.77969459469466</v>
      </c>
      <c r="AJ9" s="70">
        <v>409.24974269240329</v>
      </c>
      <c r="AK9" s="70">
        <f>SUM(AK10:AK11)</f>
        <v>382.04438529600799</v>
      </c>
      <c r="AL9" s="70">
        <f t="shared" ref="AL9:AP9" si="2">SUM(AL10:AL11)</f>
        <v>425.52260173931501</v>
      </c>
      <c r="AM9" s="70">
        <f t="shared" si="2"/>
        <v>383.91263664931699</v>
      </c>
      <c r="AN9" s="70">
        <f t="shared" si="2"/>
        <v>384.54667533707226</v>
      </c>
      <c r="AO9" s="70">
        <f t="shared" si="2"/>
        <v>412.47679003441476</v>
      </c>
      <c r="AP9" s="70">
        <f t="shared" si="2"/>
        <v>402.56421763839415</v>
      </c>
    </row>
    <row r="10" spans="1:42">
      <c r="A10" s="53">
        <v>5</v>
      </c>
      <c r="B10" s="4" t="s">
        <v>168</v>
      </c>
      <c r="C10" s="71">
        <f t="shared" ref="C10:C46" si="3">HLOOKUP($C$6,$H$6:$BX$46,$G10,FALSE)</f>
        <v>409.62260173931503</v>
      </c>
      <c r="D10" s="71">
        <f t="shared" ref="D10:D46" si="4">HLOOKUP($D$6,$H$6:$BX$46,$G10,FALSE)</f>
        <v>387.24202250000008</v>
      </c>
      <c r="E10" s="32">
        <f t="shared" ref="E10:E11" si="5">+D10/C10-1</f>
        <v>-5.4637071158387895E-2</v>
      </c>
      <c r="G10" s="53">
        <f t="shared" si="0"/>
        <v>5</v>
      </c>
      <c r="H10" s="4" t="s">
        <v>168</v>
      </c>
      <c r="I10" s="59">
        <v>375.70760791999999</v>
      </c>
      <c r="J10" s="59">
        <v>387.07254207000005</v>
      </c>
      <c r="K10" s="59">
        <v>377.56387881999996</v>
      </c>
      <c r="L10" s="59">
        <v>383.95966881999999</v>
      </c>
      <c r="M10" s="59">
        <v>399.36714494</v>
      </c>
      <c r="N10" s="59">
        <v>394.71491316000004</v>
      </c>
      <c r="O10" s="59">
        <f>360.15103961-O11</f>
        <v>353.20982264000003</v>
      </c>
      <c r="P10" s="59">
        <v>378.41628665000002</v>
      </c>
      <c r="Q10" s="59">
        <v>375.03835251999999</v>
      </c>
      <c r="R10" s="59">
        <v>381.06003191000002</v>
      </c>
      <c r="S10" s="59">
        <v>352.25140654999996</v>
      </c>
      <c r="T10" s="59">
        <v>340.84477436216139</v>
      </c>
      <c r="U10" s="59">
        <v>336.26742267000003</v>
      </c>
      <c r="V10" s="59">
        <v>318.16888381999996</v>
      </c>
      <c r="W10" s="59">
        <v>339.68414925000002</v>
      </c>
      <c r="X10" s="59">
        <v>329.10525194999997</v>
      </c>
      <c r="Y10" s="59">
        <v>327.88627881999986</v>
      </c>
      <c r="Z10" s="59">
        <v>362.26222753999991</v>
      </c>
      <c r="AA10" s="59">
        <v>338.07808542000032</v>
      </c>
      <c r="AB10" s="59">
        <v>368.41671285999996</v>
      </c>
      <c r="AC10" s="59">
        <v>404.13782836000001</v>
      </c>
      <c r="AD10" s="71">
        <v>503.74487557000009</v>
      </c>
      <c r="AE10" s="71">
        <v>476.91959276999989</v>
      </c>
      <c r="AF10" s="71">
        <v>548.08563891000051</v>
      </c>
      <c r="AG10" s="71">
        <v>536.95393946000002</v>
      </c>
      <c r="AH10" s="71">
        <v>530.27113609000014</v>
      </c>
      <c r="AI10" s="71">
        <v>469.46775133999995</v>
      </c>
      <c r="AJ10" s="71">
        <v>395.8</v>
      </c>
      <c r="AK10" s="71">
        <v>343.5</v>
      </c>
      <c r="AL10" s="71">
        <v>409.62260173931503</v>
      </c>
      <c r="AM10" s="71">
        <v>371.20693197999964</v>
      </c>
      <c r="AN10" s="71">
        <v>370.9</v>
      </c>
      <c r="AO10" s="71">
        <v>397.57178101</v>
      </c>
      <c r="AP10" s="71">
        <v>387.24202250000008</v>
      </c>
    </row>
    <row r="11" spans="1:42">
      <c r="A11" s="53">
        <v>6</v>
      </c>
      <c r="B11" s="5" t="s">
        <v>169</v>
      </c>
      <c r="C11" s="75">
        <f t="shared" si="3"/>
        <v>15.9</v>
      </c>
      <c r="D11" s="75">
        <f t="shared" si="4"/>
        <v>15.322195138394058</v>
      </c>
      <c r="E11" s="32">
        <f t="shared" si="5"/>
        <v>-3.6339928402889465E-2</v>
      </c>
      <c r="G11" s="53">
        <f t="shared" si="0"/>
        <v>6</v>
      </c>
      <c r="H11" s="5" t="s">
        <v>169</v>
      </c>
      <c r="I11" s="7">
        <v>6.3359166699999987</v>
      </c>
      <c r="J11" s="7">
        <v>6.4528964599999998</v>
      </c>
      <c r="K11" s="7">
        <v>6.4505465000000006</v>
      </c>
      <c r="L11" s="7">
        <v>4.8689775500000003</v>
      </c>
      <c r="M11" s="7">
        <v>7.2510529899999989</v>
      </c>
      <c r="N11" s="7">
        <v>6.0850431299999999</v>
      </c>
      <c r="O11" s="7">
        <v>6.9412169699999984</v>
      </c>
      <c r="P11" s="7">
        <v>7.2800120399999999</v>
      </c>
      <c r="Q11" s="7">
        <v>8.0183107299999996</v>
      </c>
      <c r="R11" s="7">
        <v>9.4093522699999994</v>
      </c>
      <c r="S11" s="7">
        <v>9.4606392900000014</v>
      </c>
      <c r="T11" s="7">
        <v>11.224957609999999</v>
      </c>
      <c r="U11" s="7">
        <v>6.3428692699999996</v>
      </c>
      <c r="V11" s="7">
        <v>8.3454556400000008</v>
      </c>
      <c r="W11" s="7">
        <v>4.3182503800000003</v>
      </c>
      <c r="X11" s="7">
        <v>6.635510039071038</v>
      </c>
      <c r="Y11" s="7">
        <v>7.698992169456119</v>
      </c>
      <c r="Z11" s="7">
        <v>9.9065902154420691</v>
      </c>
      <c r="AA11" s="7">
        <v>18.999526859682689</v>
      </c>
      <c r="AB11" s="7">
        <v>6.4957161222843425</v>
      </c>
      <c r="AC11" s="7">
        <v>12.693227477382838</v>
      </c>
      <c r="AD11" s="75">
        <v>10.206503786062314</v>
      </c>
      <c r="AE11" s="75">
        <v>11.259608132224447</v>
      </c>
      <c r="AF11" s="75">
        <v>6.971131679271501</v>
      </c>
      <c r="AG11" s="75">
        <v>17.6357651126646</v>
      </c>
      <c r="AH11" s="75">
        <v>15.734858891242805</v>
      </c>
      <c r="AI11" s="75">
        <v>24.311943254694487</v>
      </c>
      <c r="AJ11" s="75">
        <v>13.430127822403218</v>
      </c>
      <c r="AK11" s="75">
        <v>38.544385296007974</v>
      </c>
      <c r="AL11" s="75">
        <v>15.9</v>
      </c>
      <c r="AM11" s="75">
        <v>12.705704669317338</v>
      </c>
      <c r="AN11" s="75">
        <v>13.646675337072285</v>
      </c>
      <c r="AO11" s="75">
        <v>14.905009024414774</v>
      </c>
      <c r="AP11" s="75">
        <v>15.322195138394058</v>
      </c>
    </row>
    <row r="12" spans="1:42" ht="5.25" customHeight="1">
      <c r="A12" s="53">
        <v>7</v>
      </c>
      <c r="C12" s="72"/>
      <c r="D12" s="72"/>
      <c r="E12" s="35"/>
      <c r="G12" s="53">
        <f t="shared" si="0"/>
        <v>7</v>
      </c>
      <c r="AD12" s="72"/>
      <c r="AE12" s="72"/>
      <c r="AF12" s="72"/>
      <c r="AG12" s="72"/>
      <c r="AH12" s="72"/>
      <c r="AI12" s="72"/>
      <c r="AJ12" s="72"/>
      <c r="AK12" s="72"/>
      <c r="AL12" s="72"/>
      <c r="AM12" s="72"/>
      <c r="AN12" s="72"/>
      <c r="AO12" s="72"/>
      <c r="AP12" s="72"/>
    </row>
    <row r="13" spans="1:42">
      <c r="A13" s="53">
        <v>8</v>
      </c>
      <c r="B13" s="6" t="s">
        <v>170</v>
      </c>
      <c r="C13" s="70">
        <f t="shared" si="3"/>
        <v>-233.4</v>
      </c>
      <c r="D13" s="70">
        <f t="shared" si="4"/>
        <v>-215.33088638973706</v>
      </c>
      <c r="E13" s="34">
        <f>D13/C13-1</f>
        <v>-7.7416939204211443E-2</v>
      </c>
      <c r="G13" s="53">
        <f t="shared" si="0"/>
        <v>8</v>
      </c>
      <c r="H13" s="6" t="s">
        <v>170</v>
      </c>
      <c r="I13" s="9">
        <f t="shared" ref="I13:AF13" si="6">SUM(I14:I19)</f>
        <v>-201.61834733999999</v>
      </c>
      <c r="J13" s="9">
        <f t="shared" si="6"/>
        <v>-209.72360940999999</v>
      </c>
      <c r="K13" s="9">
        <f t="shared" si="6"/>
        <v>-182.83798649000002</v>
      </c>
      <c r="L13" s="9">
        <f t="shared" si="6"/>
        <v>-161.49980806000002</v>
      </c>
      <c r="M13" s="9">
        <f t="shared" si="6"/>
        <v>-214.61205498000001</v>
      </c>
      <c r="N13" s="9">
        <f t="shared" si="6"/>
        <v>-218.94480712000001</v>
      </c>
      <c r="O13" s="9">
        <f t="shared" si="6"/>
        <v>-176.48669952</v>
      </c>
      <c r="P13" s="9">
        <f t="shared" si="6"/>
        <v>-145.51666410999999</v>
      </c>
      <c r="Q13" s="9">
        <f t="shared" si="6"/>
        <v>-197.76414062000003</v>
      </c>
      <c r="R13" s="9">
        <f t="shared" si="6"/>
        <v>-191.37367252999999</v>
      </c>
      <c r="S13" s="9">
        <f t="shared" si="6"/>
        <v>-160.20363063999997</v>
      </c>
      <c r="T13" s="9">
        <f t="shared" si="6"/>
        <v>-142.64274646084766</v>
      </c>
      <c r="U13" s="9">
        <f t="shared" si="6"/>
        <v>-144.02327721</v>
      </c>
      <c r="V13" s="9">
        <f t="shared" si="6"/>
        <v>-144.97976937000001</v>
      </c>
      <c r="W13" s="9">
        <f t="shared" si="6"/>
        <v>-141.80259100999999</v>
      </c>
      <c r="X13" s="9">
        <f t="shared" si="6"/>
        <v>-123.59622957000001</v>
      </c>
      <c r="Y13" s="9">
        <f t="shared" si="6"/>
        <v>-163.24753229999999</v>
      </c>
      <c r="Z13" s="9">
        <f t="shared" si="6"/>
        <v>-189.50218863124448</v>
      </c>
      <c r="AA13" s="9">
        <f t="shared" si="6"/>
        <v>-253.26415183148549</v>
      </c>
      <c r="AB13" s="9">
        <f t="shared" si="6"/>
        <v>-175.95883669</v>
      </c>
      <c r="AC13" s="9">
        <f t="shared" si="6"/>
        <v>-237.66753002999999</v>
      </c>
      <c r="AD13" s="70">
        <f t="shared" si="6"/>
        <v>-326.46387163163115</v>
      </c>
      <c r="AE13" s="70">
        <f t="shared" si="6"/>
        <v>-248.62596084999961</v>
      </c>
      <c r="AF13" s="70">
        <f t="shared" si="6"/>
        <v>-256.67572530163108</v>
      </c>
      <c r="AG13" s="70">
        <v>-323.60366723210336</v>
      </c>
      <c r="AH13" s="70">
        <v>-370.00231048850736</v>
      </c>
      <c r="AI13" s="70">
        <v>-228.49979299767796</v>
      </c>
      <c r="AJ13" s="70">
        <v>-208.03253989325097</v>
      </c>
      <c r="AK13" s="70">
        <f>SUM(AK14:AK19)</f>
        <v>-196.42901586754701</v>
      </c>
      <c r="AL13" s="70">
        <f t="shared" ref="AL13:AP13" si="7">SUM(AL14:AL19)</f>
        <v>-233.4</v>
      </c>
      <c r="AM13" s="70">
        <f t="shared" si="7"/>
        <v>-172.60299499363373</v>
      </c>
      <c r="AN13" s="70">
        <f t="shared" si="7"/>
        <v>-169.74386961281996</v>
      </c>
      <c r="AO13" s="70">
        <f t="shared" si="7"/>
        <v>-191.31091658158488</v>
      </c>
      <c r="AP13" s="70">
        <f t="shared" si="7"/>
        <v>-215.33088638973706</v>
      </c>
    </row>
    <row r="14" spans="1:42">
      <c r="A14" s="53">
        <v>9</v>
      </c>
      <c r="B14" s="5" t="s">
        <v>171</v>
      </c>
      <c r="C14" s="73">
        <f t="shared" si="3"/>
        <v>-35.5</v>
      </c>
      <c r="D14" s="73">
        <f t="shared" si="4"/>
        <v>-48.539506299999992</v>
      </c>
      <c r="E14" s="32">
        <f>+D14/C14-1</f>
        <v>0.36731003661971817</v>
      </c>
      <c r="G14" s="53">
        <f t="shared" si="0"/>
        <v>9</v>
      </c>
      <c r="H14" s="5" t="s">
        <v>171</v>
      </c>
      <c r="I14" s="8">
        <v>-49.663123439999993</v>
      </c>
      <c r="J14" s="8">
        <v>-45.028858790000001</v>
      </c>
      <c r="K14" s="8">
        <v>-48.471841370000007</v>
      </c>
      <c r="L14" s="8">
        <v>-50.922849980000002</v>
      </c>
      <c r="M14" s="8">
        <v>-49.971196500000005</v>
      </c>
      <c r="N14" s="8">
        <v>-42.72805692</v>
      </c>
      <c r="O14" s="8">
        <v>-27.189153449999999</v>
      </c>
      <c r="P14" s="8">
        <v>-32.179547069999998</v>
      </c>
      <c r="Q14" s="8">
        <v>-32.977775399999999</v>
      </c>
      <c r="R14" s="8">
        <v>-34.296792169999996</v>
      </c>
      <c r="S14" s="8">
        <v>-31.990598459999998</v>
      </c>
      <c r="T14" s="8">
        <v>-20.88005158</v>
      </c>
      <c r="U14" s="8">
        <v>-21.550229389999998</v>
      </c>
      <c r="V14" s="8">
        <v>-26.609996129999999</v>
      </c>
      <c r="W14" s="8">
        <v>-26.503041410000002</v>
      </c>
      <c r="X14" s="8">
        <v>-38.097026920000005</v>
      </c>
      <c r="Y14" s="8">
        <v>-31.256106670000001</v>
      </c>
      <c r="Z14" s="8">
        <v>-29.581270990000004</v>
      </c>
      <c r="AA14" s="8">
        <v>-23.925166110000006</v>
      </c>
      <c r="AB14" s="8">
        <v>-30.191743499999983</v>
      </c>
      <c r="AC14" s="8">
        <v>-36.727656089999996</v>
      </c>
      <c r="AD14" s="73">
        <v>-36.782159120000003</v>
      </c>
      <c r="AE14" s="73">
        <v>-31.631071659999989</v>
      </c>
      <c r="AF14" s="73">
        <v>-34.650141210000029</v>
      </c>
      <c r="AG14" s="73">
        <v>-38.440342030000004</v>
      </c>
      <c r="AH14" s="73">
        <v>-41.919932799999991</v>
      </c>
      <c r="AI14" s="73">
        <v>-30.538348980000031</v>
      </c>
      <c r="AJ14" s="73">
        <v>-29.637286639999957</v>
      </c>
      <c r="AK14" s="73">
        <v>-34.153910349999997</v>
      </c>
      <c r="AL14" s="73">
        <v>-35.5</v>
      </c>
      <c r="AM14" s="73">
        <v>-48.877445140000013</v>
      </c>
      <c r="AN14" s="73">
        <v>-40.44430187999999</v>
      </c>
      <c r="AO14" s="73">
        <v>-48.466087640000005</v>
      </c>
      <c r="AP14" s="73">
        <v>-48.539506299999992</v>
      </c>
    </row>
    <row r="15" spans="1:42">
      <c r="A15" s="53">
        <v>10</v>
      </c>
      <c r="B15" s="5" t="s">
        <v>172</v>
      </c>
      <c r="C15" s="73">
        <f t="shared" si="3"/>
        <v>-20.6</v>
      </c>
      <c r="D15" s="73">
        <f t="shared" si="4"/>
        <v>-32.963505429999998</v>
      </c>
      <c r="E15" s="33">
        <f t="shared" ref="E15:E19" si="8">+D15/C15-1</f>
        <v>0.60017016650485422</v>
      </c>
      <c r="G15" s="53">
        <f t="shared" si="0"/>
        <v>10</v>
      </c>
      <c r="H15" s="5" t="s">
        <v>172</v>
      </c>
      <c r="I15" s="8">
        <v>-10.309236590000001</v>
      </c>
      <c r="J15" s="8">
        <v>-8.1412438000000016</v>
      </c>
      <c r="K15" s="8">
        <v>-12.31748</v>
      </c>
      <c r="L15" s="8">
        <v>-15.235790230000001</v>
      </c>
      <c r="M15" s="8">
        <v>-14.031543289999998</v>
      </c>
      <c r="N15" s="8">
        <v>-8.2634073800000003</v>
      </c>
      <c r="O15" s="8">
        <v>-12.96105287</v>
      </c>
      <c r="P15" s="8">
        <v>-10.257073849999999</v>
      </c>
      <c r="Q15" s="8">
        <v>-2.7598666500000002</v>
      </c>
      <c r="R15" s="8">
        <v>-13.185026169999999</v>
      </c>
      <c r="S15" s="8">
        <v>-30.11858333</v>
      </c>
      <c r="T15" s="8">
        <v>-18.777421969999999</v>
      </c>
      <c r="U15" s="8">
        <v>-15.50763813</v>
      </c>
      <c r="V15" s="8">
        <v>-7.0497441700000003</v>
      </c>
      <c r="W15" s="8">
        <v>-8.8661044199999992</v>
      </c>
      <c r="X15" s="8">
        <v>-22.674804890000001</v>
      </c>
      <c r="Y15" s="8">
        <v>-15.90505726</v>
      </c>
      <c r="Z15" s="8">
        <v>-13.359126759999995</v>
      </c>
      <c r="AA15" s="8">
        <v>-18.52931855000001</v>
      </c>
      <c r="AB15" s="8">
        <v>-22.854881370000005</v>
      </c>
      <c r="AC15" s="8">
        <v>-28.388396860000004</v>
      </c>
      <c r="AD15" s="73">
        <v>-40.373698689999998</v>
      </c>
      <c r="AE15" s="73">
        <v>-37.324889650000003</v>
      </c>
      <c r="AF15" s="73">
        <v>-37.634012129999988</v>
      </c>
      <c r="AG15" s="73">
        <v>-32.855387869999994</v>
      </c>
      <c r="AH15" s="73">
        <v>-72.982813530000016</v>
      </c>
      <c r="AI15" s="73">
        <v>-66.236618530000015</v>
      </c>
      <c r="AJ15" s="73">
        <v>-50.984763069999957</v>
      </c>
      <c r="AK15" s="73">
        <v>-10.784789839999998</v>
      </c>
      <c r="AL15" s="73">
        <v>-20.6</v>
      </c>
      <c r="AM15" s="73">
        <v>-21.47029775</v>
      </c>
      <c r="AN15" s="73">
        <v>-44.792686549999971</v>
      </c>
      <c r="AO15" s="73">
        <v>-22.13711172</v>
      </c>
      <c r="AP15" s="73">
        <v>-32.963505429999998</v>
      </c>
    </row>
    <row r="16" spans="1:42">
      <c r="A16" s="53">
        <v>11</v>
      </c>
      <c r="B16" s="5" t="s">
        <v>173</v>
      </c>
      <c r="C16" s="73">
        <f t="shared" si="3"/>
        <v>-124.4</v>
      </c>
      <c r="D16" s="73">
        <f t="shared" si="4"/>
        <v>-97.338191219999985</v>
      </c>
      <c r="E16" s="33">
        <f t="shared" si="8"/>
        <v>-0.21753865578778153</v>
      </c>
      <c r="G16" s="53">
        <f t="shared" si="0"/>
        <v>11</v>
      </c>
      <c r="H16" s="5" t="s">
        <v>173</v>
      </c>
      <c r="I16" s="8">
        <v>-94.484040910000004</v>
      </c>
      <c r="J16" s="8">
        <v>-97.683044590000009</v>
      </c>
      <c r="K16" s="8">
        <v>-69.257545590000007</v>
      </c>
      <c r="L16" s="8">
        <v>-46.944186979999998</v>
      </c>
      <c r="M16" s="8">
        <v>-100.79955923</v>
      </c>
      <c r="N16" s="8">
        <v>-115.36363802999999</v>
      </c>
      <c r="O16" s="8">
        <v>-87.820830080000007</v>
      </c>
      <c r="P16" s="8">
        <v>-51.494247820000005</v>
      </c>
      <c r="Q16" s="8">
        <v>-107.34780074</v>
      </c>
      <c r="R16" s="8">
        <v>-95.379333989999992</v>
      </c>
      <c r="S16" s="8">
        <v>-70.417705769999998</v>
      </c>
      <c r="T16" s="8">
        <v>-64.138872550000002</v>
      </c>
      <c r="U16" s="8">
        <v>-68.507288939999995</v>
      </c>
      <c r="V16" s="8">
        <v>-69.673911410000002</v>
      </c>
      <c r="W16" s="8">
        <v>-75.506592269999999</v>
      </c>
      <c r="X16" s="8">
        <v>-31.725625049999998</v>
      </c>
      <c r="Y16" s="8">
        <v>-66.270926209999999</v>
      </c>
      <c r="Z16" s="8">
        <v>-94.117526049999995</v>
      </c>
      <c r="AA16" s="8">
        <v>-149.87379989999997</v>
      </c>
      <c r="AB16" s="8">
        <v>-84.117770259999901</v>
      </c>
      <c r="AC16" s="8">
        <v>-119.36580708000001</v>
      </c>
      <c r="AD16" s="73">
        <v>-150.17607264000003</v>
      </c>
      <c r="AE16" s="73">
        <v>-115.32812763999988</v>
      </c>
      <c r="AF16" s="73">
        <v>-135.2557122500001</v>
      </c>
      <c r="AG16" s="73">
        <v>-178.62920137</v>
      </c>
      <c r="AH16" s="73">
        <v>-163.91900953999996</v>
      </c>
      <c r="AI16" s="73">
        <v>-77.22432807000007</v>
      </c>
      <c r="AJ16" s="73">
        <v>-79.244384589999953</v>
      </c>
      <c r="AK16" s="73">
        <v>-94.007109159999999</v>
      </c>
      <c r="AL16" s="73">
        <v>-124.4</v>
      </c>
      <c r="AM16" s="73">
        <v>-60.110263990000078</v>
      </c>
      <c r="AN16" s="73">
        <v>-48.752507539999954</v>
      </c>
      <c r="AO16" s="73">
        <v>-83.243278219999993</v>
      </c>
      <c r="AP16" s="73">
        <v>-97.338191219999985</v>
      </c>
    </row>
    <row r="17" spans="1:42">
      <c r="A17" s="53">
        <v>12</v>
      </c>
      <c r="B17" s="5" t="s">
        <v>174</v>
      </c>
      <c r="C17" s="73">
        <f t="shared" si="3"/>
        <v>-2.8</v>
      </c>
      <c r="D17" s="73">
        <f t="shared" si="4"/>
        <v>-9.0758459599999988</v>
      </c>
      <c r="E17" s="33">
        <f t="shared" si="8"/>
        <v>2.241373557142857</v>
      </c>
      <c r="G17" s="53">
        <f t="shared" si="0"/>
        <v>12</v>
      </c>
      <c r="H17" s="5" t="s">
        <v>174</v>
      </c>
      <c r="I17" s="8">
        <v>-6.969882909999999</v>
      </c>
      <c r="J17" s="8">
        <v>-16.593912970000002</v>
      </c>
      <c r="K17" s="8">
        <v>-4.990396689999999</v>
      </c>
      <c r="L17" s="8">
        <v>-2.59113864</v>
      </c>
      <c r="M17" s="8">
        <v>-3.0085850299999999</v>
      </c>
      <c r="N17" s="8">
        <v>-4.8410693299999998</v>
      </c>
      <c r="O17" s="8">
        <v>-4.997354979999999</v>
      </c>
      <c r="P17" s="8">
        <v>-3.5823068500000002</v>
      </c>
      <c r="Q17" s="8">
        <v>-9.144735380000002</v>
      </c>
      <c r="R17" s="8">
        <v>-2.1464366200000002</v>
      </c>
      <c r="S17" s="8">
        <v>-0.41594635999999996</v>
      </c>
      <c r="T17" s="8">
        <v>-0.97457678084765598</v>
      </c>
      <c r="U17" s="8">
        <v>-4.2986809299999997</v>
      </c>
      <c r="V17" s="8">
        <v>-2.9431910800000001</v>
      </c>
      <c r="W17" s="8">
        <v>-0.41815340000000006</v>
      </c>
      <c r="X17" s="8">
        <v>-1.86275127</v>
      </c>
      <c r="Y17" s="8">
        <v>-16.706890779999998</v>
      </c>
      <c r="Z17" s="8">
        <v>-7.6236350399999973</v>
      </c>
      <c r="AA17" s="8">
        <v>-18.83520717</v>
      </c>
      <c r="AB17" s="8">
        <v>-6.1802511400000002</v>
      </c>
      <c r="AC17" s="8">
        <v>-7.0593287499999997</v>
      </c>
      <c r="AD17" s="73">
        <v>-50.793224300000006</v>
      </c>
      <c r="AE17" s="73">
        <v>-7.2131222800000003</v>
      </c>
      <c r="AF17" s="73">
        <v>-5.3518450999999914</v>
      </c>
      <c r="AG17" s="73">
        <v>-7.3668896100000003</v>
      </c>
      <c r="AH17" s="73">
        <v>-8.7086812399999971</v>
      </c>
      <c r="AI17" s="73">
        <v>-4.2798112499999981</v>
      </c>
      <c r="AJ17" s="73">
        <v>-1.171573740000003</v>
      </c>
      <c r="AK17" s="73">
        <v>-0.97015418999999992</v>
      </c>
      <c r="AL17" s="73">
        <v>-2.8</v>
      </c>
      <c r="AM17" s="73">
        <v>-1.1605387700000005</v>
      </c>
      <c r="AN17" s="73">
        <v>-1.1793407099999991</v>
      </c>
      <c r="AO17" s="73">
        <v>-1.8139338399999998</v>
      </c>
      <c r="AP17" s="73">
        <v>-9.0758459599999988</v>
      </c>
    </row>
    <row r="18" spans="1:42">
      <c r="A18" s="53">
        <v>13</v>
      </c>
      <c r="B18" s="5" t="s">
        <v>175</v>
      </c>
      <c r="C18" s="73">
        <f t="shared" si="3"/>
        <v>-27.6</v>
      </c>
      <c r="D18" s="73">
        <f t="shared" si="4"/>
        <v>-0.49072630999999767</v>
      </c>
      <c r="E18" s="33">
        <f t="shared" si="8"/>
        <v>-0.9822200612318841</v>
      </c>
      <c r="G18" s="53">
        <f t="shared" si="0"/>
        <v>13</v>
      </c>
      <c r="H18" s="5" t="s">
        <v>175</v>
      </c>
      <c r="I18" s="8">
        <v>-18.267814120000004</v>
      </c>
      <c r="J18" s="8">
        <v>-19.587985530000005</v>
      </c>
      <c r="K18" s="8">
        <v>-21.775002570000002</v>
      </c>
      <c r="L18" s="8">
        <v>-14.182322660000001</v>
      </c>
      <c r="M18" s="8">
        <v>-22.118387720000001</v>
      </c>
      <c r="N18" s="8">
        <v>-22.376940360000003</v>
      </c>
      <c r="O18" s="8">
        <v>-23.068639080000001</v>
      </c>
      <c r="P18" s="8">
        <v>-19.234630080000002</v>
      </c>
      <c r="Q18" s="8">
        <v>-25.951997500000001</v>
      </c>
      <c r="R18" s="8">
        <v>-25.329593030000002</v>
      </c>
      <c r="S18" s="8">
        <v>-7.9583244999999989</v>
      </c>
      <c r="T18" s="8">
        <v>-14.40621734</v>
      </c>
      <c r="U18" s="8">
        <v>-20.795866490000002</v>
      </c>
      <c r="V18" s="8">
        <v>-21.183902500000002</v>
      </c>
      <c r="W18" s="8">
        <v>-17.545652830000002</v>
      </c>
      <c r="X18" s="8">
        <v>-10.825311670000003</v>
      </c>
      <c r="Y18" s="8">
        <v>-21.106550949999999</v>
      </c>
      <c r="Z18" s="8">
        <v>-25.186136600000005</v>
      </c>
      <c r="AA18" s="8">
        <v>-26.626581519999998</v>
      </c>
      <c r="AB18" s="8">
        <v>-16.740971339999994</v>
      </c>
      <c r="AC18" s="8">
        <v>-31.017013939999998</v>
      </c>
      <c r="AD18" s="73">
        <v>-31.993431799999996</v>
      </c>
      <c r="AE18" s="73">
        <v>-41.567252299999993</v>
      </c>
      <c r="AF18" s="73">
        <v>-21.827071390000015</v>
      </c>
      <c r="AG18" s="73">
        <v>-45.669600989999999</v>
      </c>
      <c r="AH18" s="73">
        <v>-55.675935639999999</v>
      </c>
      <c r="AI18" s="73">
        <v>-22.305689220000012</v>
      </c>
      <c r="AJ18" s="73">
        <v>-19.688287360000004</v>
      </c>
      <c r="AK18" s="73">
        <v>-33.493438950000005</v>
      </c>
      <c r="AL18" s="73">
        <v>-27.6</v>
      </c>
      <c r="AM18" s="73">
        <v>-18.556322349999995</v>
      </c>
      <c r="AN18" s="73">
        <v>-4.0719472400000143</v>
      </c>
      <c r="AO18" s="73">
        <v>-11.190888200000002</v>
      </c>
      <c r="AP18" s="73">
        <v>-0.49072630999999767</v>
      </c>
    </row>
    <row r="19" spans="1:42">
      <c r="A19" s="53">
        <v>14</v>
      </c>
      <c r="B19" s="5" t="s">
        <v>176</v>
      </c>
      <c r="C19" s="73">
        <f t="shared" si="3"/>
        <v>-22.5</v>
      </c>
      <c r="D19" s="73">
        <f t="shared" si="4"/>
        <v>-26.923111169737105</v>
      </c>
      <c r="E19" s="33">
        <f t="shared" si="8"/>
        <v>0.19658271865498245</v>
      </c>
      <c r="G19" s="53">
        <f t="shared" si="0"/>
        <v>14</v>
      </c>
      <c r="H19" s="5" t="s">
        <v>176</v>
      </c>
      <c r="I19" s="8">
        <v>-21.924249370000002</v>
      </c>
      <c r="J19" s="8">
        <v>-22.688563729999998</v>
      </c>
      <c r="K19" s="8">
        <v>-26.025720270000001</v>
      </c>
      <c r="L19" s="8">
        <v>-31.623519569999999</v>
      </c>
      <c r="M19" s="8">
        <v>-24.68278321</v>
      </c>
      <c r="N19" s="8">
        <v>-25.371695099999997</v>
      </c>
      <c r="O19" s="8">
        <v>-20.449669059999998</v>
      </c>
      <c r="P19" s="8">
        <v>-28.768858439999995</v>
      </c>
      <c r="Q19" s="8">
        <v>-19.58196495</v>
      </c>
      <c r="R19" s="8">
        <v>-21.036490550000003</v>
      </c>
      <c r="S19" s="8">
        <v>-19.302472219999999</v>
      </c>
      <c r="T19" s="8">
        <v>-23.46560624</v>
      </c>
      <c r="U19" s="8">
        <v>-13.363573330000001</v>
      </c>
      <c r="V19" s="8">
        <v>-17.519024080000001</v>
      </c>
      <c r="W19" s="8">
        <v>-12.96304668</v>
      </c>
      <c r="X19" s="8">
        <v>-18.41070977</v>
      </c>
      <c r="Y19" s="8">
        <v>-12.002000430000004</v>
      </c>
      <c r="Z19" s="8">
        <v>-19.634493191244463</v>
      </c>
      <c r="AA19" s="8">
        <v>-15.4740785814855</v>
      </c>
      <c r="AB19" s="8">
        <v>-15.873219080000139</v>
      </c>
      <c r="AC19" s="8">
        <v>-15.109327309999999</v>
      </c>
      <c r="AD19" s="73">
        <v>-16.34528508163109</v>
      </c>
      <c r="AE19" s="73">
        <v>-15.561497319999788</v>
      </c>
      <c r="AF19" s="73">
        <v>-21.956943221630951</v>
      </c>
      <c r="AG19" s="73">
        <v>-20.642245362103388</v>
      </c>
      <c r="AH19" s="73">
        <v>-27.235634568507471</v>
      </c>
      <c r="AI19" s="73">
        <v>-27.914996947677867</v>
      </c>
      <c r="AJ19" s="73">
        <v>-27.306244493251082</v>
      </c>
      <c r="AK19" s="73">
        <v>-23.019613377547007</v>
      </c>
      <c r="AL19" s="73">
        <v>-22.5</v>
      </c>
      <c r="AM19" s="73">
        <v>-22.428126993633672</v>
      </c>
      <c r="AN19" s="73">
        <v>-30.503085692820033</v>
      </c>
      <c r="AO19" s="73">
        <v>-24.459616961584899</v>
      </c>
      <c r="AP19" s="73">
        <v>-26.923111169737105</v>
      </c>
    </row>
    <row r="20" spans="1:42" ht="5.25" customHeight="1">
      <c r="A20" s="53">
        <v>15</v>
      </c>
      <c r="E20" s="35"/>
      <c r="G20" s="53">
        <f t="shared" si="0"/>
        <v>15</v>
      </c>
    </row>
    <row r="21" spans="1:42">
      <c r="A21" s="53">
        <v>16</v>
      </c>
      <c r="B21" s="6" t="s">
        <v>177</v>
      </c>
      <c r="C21" s="9">
        <f t="shared" si="3"/>
        <v>192.122601739315</v>
      </c>
      <c r="D21" s="9">
        <f t="shared" si="4"/>
        <v>187.23333124865709</v>
      </c>
      <c r="E21" s="34">
        <f>D21/C21-1</f>
        <v>-2.5448700186207152E-2</v>
      </c>
      <c r="G21" s="53">
        <f t="shared" si="0"/>
        <v>16</v>
      </c>
      <c r="H21" s="6" t="s">
        <v>177</v>
      </c>
      <c r="I21" s="9">
        <f t="shared" ref="I21:AB21" si="9">I9+I13</f>
        <v>180.42517725000002</v>
      </c>
      <c r="J21" s="9">
        <f t="shared" si="9"/>
        <v>183.80182912000004</v>
      </c>
      <c r="K21" s="9">
        <f t="shared" si="9"/>
        <v>201.17643882999991</v>
      </c>
      <c r="L21" s="9">
        <f t="shared" si="9"/>
        <v>227.32883830999998</v>
      </c>
      <c r="M21" s="9">
        <f t="shared" si="9"/>
        <v>192.00614295</v>
      </c>
      <c r="N21" s="9">
        <f t="shared" si="9"/>
        <v>181.85514917</v>
      </c>
      <c r="O21" s="9">
        <f t="shared" si="9"/>
        <v>183.66434009</v>
      </c>
      <c r="P21" s="9">
        <f t="shared" si="9"/>
        <v>240.17963458</v>
      </c>
      <c r="Q21" s="9">
        <f t="shared" si="9"/>
        <v>185.29252262999995</v>
      </c>
      <c r="R21" s="9">
        <f t="shared" si="9"/>
        <v>199.09571165000003</v>
      </c>
      <c r="S21" s="9">
        <f t="shared" si="9"/>
        <v>201.5084152</v>
      </c>
      <c r="T21" s="9">
        <f t="shared" si="9"/>
        <v>209.42698551131372</v>
      </c>
      <c r="U21" s="9">
        <f t="shared" si="9"/>
        <v>198.58701473000002</v>
      </c>
      <c r="V21" s="9">
        <f t="shared" si="9"/>
        <v>181.53457008999996</v>
      </c>
      <c r="W21" s="9">
        <f t="shared" si="9"/>
        <v>202.19980862000003</v>
      </c>
      <c r="X21" s="9">
        <f t="shared" si="9"/>
        <v>212.14453241907103</v>
      </c>
      <c r="Y21" s="9">
        <f t="shared" si="9"/>
        <v>172.33773868945599</v>
      </c>
      <c r="Z21" s="9">
        <f t="shared" si="9"/>
        <v>182.6666291241975</v>
      </c>
      <c r="AA21" s="9">
        <f t="shared" si="9"/>
        <v>103.81346044819753</v>
      </c>
      <c r="AB21" s="9">
        <f t="shared" si="9"/>
        <v>198.95359229228433</v>
      </c>
      <c r="AC21" s="9">
        <f>AC9+AC13</f>
        <v>179.16352580738285</v>
      </c>
      <c r="AD21" s="9">
        <f t="shared" ref="AD21:AI21" si="10">AD9+AD13</f>
        <v>187.48750772443123</v>
      </c>
      <c r="AE21" s="9">
        <f t="shared" si="10"/>
        <v>239.55324005222468</v>
      </c>
      <c r="AF21" s="9">
        <f t="shared" si="10"/>
        <v>298.38104528764092</v>
      </c>
      <c r="AG21" s="9">
        <f t="shared" si="10"/>
        <v>230.98603734056167</v>
      </c>
      <c r="AH21" s="9">
        <f t="shared" si="10"/>
        <v>176.00368449273554</v>
      </c>
      <c r="AI21" s="9">
        <f t="shared" si="10"/>
        <v>265.2799015970167</v>
      </c>
      <c r="AJ21" s="9">
        <v>201.21720279915232</v>
      </c>
      <c r="AK21" s="9">
        <f>AK9+AK13</f>
        <v>185.61536942846098</v>
      </c>
      <c r="AL21" s="9">
        <f t="shared" ref="AL21:AP21" si="11">AL9+AL13</f>
        <v>192.122601739315</v>
      </c>
      <c r="AM21" s="9">
        <f t="shared" si="11"/>
        <v>211.30964165568327</v>
      </c>
      <c r="AN21" s="9">
        <f t="shared" si="11"/>
        <v>214.80280572425229</v>
      </c>
      <c r="AO21" s="9">
        <f t="shared" si="11"/>
        <v>221.16587345282989</v>
      </c>
      <c r="AP21" s="9">
        <f t="shared" si="11"/>
        <v>187.23333124865709</v>
      </c>
    </row>
    <row r="22" spans="1:42" ht="5.25" customHeight="1">
      <c r="A22" s="53">
        <v>17</v>
      </c>
      <c r="E22" s="35"/>
      <c r="G22" s="53">
        <f t="shared" si="0"/>
        <v>17</v>
      </c>
    </row>
    <row r="23" spans="1:42">
      <c r="A23" s="53">
        <v>18</v>
      </c>
      <c r="B23" s="5" t="s">
        <v>178</v>
      </c>
      <c r="C23" s="73">
        <f t="shared" si="3"/>
        <v>-23.066342836885912</v>
      </c>
      <c r="D23" s="73">
        <f t="shared" si="4"/>
        <v>-27.214885630000001</v>
      </c>
      <c r="E23" s="32">
        <f>+D23/C23-1</f>
        <v>0.17985264601547768</v>
      </c>
      <c r="G23" s="53">
        <f t="shared" si="0"/>
        <v>18</v>
      </c>
      <c r="H23" s="5" t="s">
        <v>178</v>
      </c>
      <c r="I23" s="8">
        <v>-17.04451195</v>
      </c>
      <c r="J23" s="8">
        <v>-17.660246110000003</v>
      </c>
      <c r="K23" s="8">
        <v>-19.13792746</v>
      </c>
      <c r="L23" s="8">
        <v>-22.942345899999999</v>
      </c>
      <c r="M23" s="8">
        <v>-20.83305013</v>
      </c>
      <c r="N23" s="8">
        <v>-19.99287172</v>
      </c>
      <c r="O23" s="8">
        <v>-19.41948554</v>
      </c>
      <c r="P23" s="8">
        <v>-19.52008206</v>
      </c>
      <c r="Q23" s="8">
        <v>-18.145634449999999</v>
      </c>
      <c r="R23" s="8">
        <v>-18.69958454</v>
      </c>
      <c r="S23" s="8">
        <v>-18.131862460000001</v>
      </c>
      <c r="T23" s="8">
        <v>-19.374417829999999</v>
      </c>
      <c r="U23" s="8">
        <v>-15.103110769999997</v>
      </c>
      <c r="V23" s="8">
        <v>-15.963176069999999</v>
      </c>
      <c r="W23" s="8">
        <v>-16.546217549999998</v>
      </c>
      <c r="X23" s="8">
        <v>-17.744413205142642</v>
      </c>
      <c r="Y23" s="8">
        <v>-21.26849432578625</v>
      </c>
      <c r="Z23" s="8">
        <v>-21.544319944213736</v>
      </c>
      <c r="AA23" s="8">
        <v>-19.299255428896753</v>
      </c>
      <c r="AB23" s="8">
        <v>-17.559487375259824</v>
      </c>
      <c r="AC23" s="8">
        <v>-20.241679390105503</v>
      </c>
      <c r="AD23" s="73">
        <v>-21.183490919894481</v>
      </c>
      <c r="AE23" s="73">
        <v>-20.735013258669198</v>
      </c>
      <c r="AF23" s="73">
        <v>-21.867187204425903</v>
      </c>
      <c r="AG23" s="73">
        <v>-22.214295176369102</v>
      </c>
      <c r="AH23" s="73">
        <v>-23.362683803273899</v>
      </c>
      <c r="AI23" s="73">
        <v>-23.810750728135329</v>
      </c>
      <c r="AJ23" s="73">
        <v>-22.412236887902981</v>
      </c>
      <c r="AK23" s="73">
        <v>-21.269593603994846</v>
      </c>
      <c r="AL23" s="73">
        <v>-23.066342836885912</v>
      </c>
      <c r="AM23" s="73">
        <v>-23.567796771010915</v>
      </c>
      <c r="AN23" s="73">
        <v>-24.188756279110653</v>
      </c>
      <c r="AO23" s="73">
        <v>-25.044677520000004</v>
      </c>
      <c r="AP23" s="73">
        <v>-27.214885630000001</v>
      </c>
    </row>
    <row r="24" spans="1:42">
      <c r="A24" s="53">
        <v>19</v>
      </c>
      <c r="B24" s="5" t="s">
        <v>179</v>
      </c>
      <c r="C24" s="73">
        <f t="shared" si="3"/>
        <v>-16.534317547918839</v>
      </c>
      <c r="D24" s="73">
        <f t="shared" si="4"/>
        <v>-19.392360850058431</v>
      </c>
      <c r="E24" s="32">
        <f>+D24/C24-1</f>
        <v>0.172855232389034</v>
      </c>
      <c r="G24" s="53">
        <f t="shared" si="0"/>
        <v>19</v>
      </c>
      <c r="H24" s="5" t="s">
        <v>179</v>
      </c>
      <c r="I24" s="8">
        <v>-8.5792266599999998</v>
      </c>
      <c r="J24" s="8">
        <v>-7.6647555899999995</v>
      </c>
      <c r="K24" s="8">
        <v>-8.0141252200000004</v>
      </c>
      <c r="L24" s="8">
        <v>0.44080515999999959</v>
      </c>
      <c r="M24" s="8">
        <v>-7.5951097599999997</v>
      </c>
      <c r="N24" s="8">
        <v>-7.8615174199999984</v>
      </c>
      <c r="O24" s="8">
        <v>-7.9049100199999991</v>
      </c>
      <c r="P24" s="8">
        <v>-10.4942574</v>
      </c>
      <c r="Q24" s="8">
        <v>-5.5704710899999998</v>
      </c>
      <c r="R24" s="8">
        <v>-6.6276518099999997</v>
      </c>
      <c r="S24" s="8">
        <v>-4.66054455</v>
      </c>
      <c r="T24" s="8">
        <v>-7.1157827199999995</v>
      </c>
      <c r="U24" s="8">
        <v>-11.136667629999998</v>
      </c>
      <c r="V24" s="8">
        <v>-10.306963700000001</v>
      </c>
      <c r="W24" s="8">
        <v>-10.667568380000002</v>
      </c>
      <c r="X24" s="8">
        <v>-14.458320406060349</v>
      </c>
      <c r="Y24" s="8">
        <v>-13.714933041244359</v>
      </c>
      <c r="Z24" s="8">
        <v>-14.381759890241124</v>
      </c>
      <c r="AA24" s="8">
        <v>-12.679123930000056</v>
      </c>
      <c r="AB24" s="8">
        <v>-17.126937789999957</v>
      </c>
      <c r="AC24" s="8">
        <v>-13.330457380000013</v>
      </c>
      <c r="AD24" s="73">
        <v>-13.441127820000059</v>
      </c>
      <c r="AE24" s="73">
        <v>-13.673123019999959</v>
      </c>
      <c r="AF24" s="73">
        <v>-16.762059948368872</v>
      </c>
      <c r="AG24" s="73">
        <v>-16.607401639999985</v>
      </c>
      <c r="AH24" s="73">
        <v>-17.84276506774308</v>
      </c>
      <c r="AI24" s="73">
        <v>-15.310860021401922</v>
      </c>
      <c r="AJ24" s="73">
        <v>-17.964501218992371</v>
      </c>
      <c r="AK24" s="73">
        <v>-16.862101925413924</v>
      </c>
      <c r="AL24" s="73">
        <v>-16.534317547918839</v>
      </c>
      <c r="AM24" s="73">
        <v>-18.088542519072924</v>
      </c>
      <c r="AN24" s="73">
        <v>-17.806586337452174</v>
      </c>
      <c r="AO24" s="73">
        <v>-17.607555809941566</v>
      </c>
      <c r="AP24" s="73">
        <v>-19.392360850058431</v>
      </c>
    </row>
    <row r="25" spans="1:42">
      <c r="A25" s="53">
        <v>20</v>
      </c>
      <c r="B25" s="5" t="s">
        <v>180</v>
      </c>
      <c r="C25" s="73">
        <f t="shared" si="3"/>
        <v>-51.630923461265709</v>
      </c>
      <c r="D25" s="73">
        <f t="shared" si="4"/>
        <v>-57.894397150000003</v>
      </c>
      <c r="E25" s="32">
        <f t="shared" ref="E25" si="12">+D25/C25-1</f>
        <v>0.1213124474411782</v>
      </c>
      <c r="G25" s="53">
        <f t="shared" si="0"/>
        <v>20</v>
      </c>
      <c r="H25" s="5" t="s">
        <v>180</v>
      </c>
      <c r="I25" s="8">
        <v>-59.572974270000003</v>
      </c>
      <c r="J25" s="8">
        <v>-60.371400770000001</v>
      </c>
      <c r="K25" s="8">
        <v>-59.531198900000007</v>
      </c>
      <c r="L25" s="8">
        <v>-44.012021590000003</v>
      </c>
      <c r="M25" s="8">
        <v>-58.61902585</v>
      </c>
      <c r="N25" s="8">
        <v>-58.823031590000006</v>
      </c>
      <c r="O25" s="8">
        <v>-59.493490899999998</v>
      </c>
      <c r="P25" s="8">
        <v>-60.019039800000002</v>
      </c>
      <c r="Q25" s="8">
        <v>-60.018540229999999</v>
      </c>
      <c r="R25" s="8">
        <v>-65.973431809999994</v>
      </c>
      <c r="S25" s="8">
        <v>-63.853536640000002</v>
      </c>
      <c r="T25" s="8">
        <v>-60.676873370000003</v>
      </c>
      <c r="U25" s="8">
        <v>-60.573092729999999</v>
      </c>
      <c r="V25" s="8">
        <v>-60.983484619999999</v>
      </c>
      <c r="W25" s="8">
        <v>-62.102695539999999</v>
      </c>
      <c r="X25" s="8">
        <v>-62.955401839999993</v>
      </c>
      <c r="Y25" s="8">
        <v>-55.426093312953405</v>
      </c>
      <c r="Z25" s="8">
        <v>-52.134216937046602</v>
      </c>
      <c r="AA25" s="8">
        <v>-52.951134153785105</v>
      </c>
      <c r="AB25" s="8">
        <v>-52.651230061246096</v>
      </c>
      <c r="AC25" s="8">
        <v>-52.821310546535116</v>
      </c>
      <c r="AD25" s="73">
        <v>-55.281998485673071</v>
      </c>
      <c r="AE25" s="73">
        <v>-54.018260034138393</v>
      </c>
      <c r="AF25" s="73">
        <v>-57.392497615271211</v>
      </c>
      <c r="AG25" s="73">
        <v>-50.573471804234366</v>
      </c>
      <c r="AH25" s="73">
        <v>-50.337763983271351</v>
      </c>
      <c r="AI25" s="73">
        <v>-49.882055320398415</v>
      </c>
      <c r="AJ25" s="73">
        <v>-55.087872643454496</v>
      </c>
      <c r="AK25" s="73">
        <v>-50.939496457200093</v>
      </c>
      <c r="AL25" s="73">
        <v>-51.630923461265709</v>
      </c>
      <c r="AM25" s="73">
        <v>-54.093937569490805</v>
      </c>
      <c r="AN25" s="73">
        <v>-58.570988929842613</v>
      </c>
      <c r="AO25" s="73">
        <v>-56.727963400000007</v>
      </c>
      <c r="AP25" s="73">
        <v>-57.894397150000003</v>
      </c>
    </row>
    <row r="26" spans="1:42" ht="5.25" customHeight="1">
      <c r="A26" s="53">
        <v>21</v>
      </c>
      <c r="E26" s="35"/>
      <c r="G26" s="53">
        <f t="shared" si="0"/>
        <v>21</v>
      </c>
    </row>
    <row r="27" spans="1:42">
      <c r="A27" s="53">
        <v>22</v>
      </c>
      <c r="B27" s="6" t="s">
        <v>181</v>
      </c>
      <c r="C27" s="9">
        <f t="shared" si="3"/>
        <v>100.89101789324454</v>
      </c>
      <c r="D27" s="9">
        <f t="shared" si="4"/>
        <v>82.731687618598656</v>
      </c>
      <c r="E27" s="34">
        <f>D27/C27-1</f>
        <v>-0.17998956352943873</v>
      </c>
      <c r="G27" s="53">
        <f t="shared" si="0"/>
        <v>22</v>
      </c>
      <c r="H27" s="6" t="s">
        <v>181</v>
      </c>
      <c r="I27" s="9">
        <f t="shared" ref="I27:AB27" si="13">I25+I24+I23+I21</f>
        <v>95.228464370000012</v>
      </c>
      <c r="J27" s="9">
        <f t="shared" si="13"/>
        <v>98.105426650000027</v>
      </c>
      <c r="K27" s="9">
        <f t="shared" si="13"/>
        <v>114.49318724999991</v>
      </c>
      <c r="L27" s="9">
        <f t="shared" si="13"/>
        <v>160.81527597999997</v>
      </c>
      <c r="M27" s="9">
        <f t="shared" si="13"/>
        <v>104.95895720999999</v>
      </c>
      <c r="N27" s="9">
        <f t="shared" si="13"/>
        <v>95.177728439999996</v>
      </c>
      <c r="O27" s="9">
        <f t="shared" si="13"/>
        <v>96.846453629999999</v>
      </c>
      <c r="P27" s="9">
        <f t="shared" si="13"/>
        <v>150.14625531999999</v>
      </c>
      <c r="Q27" s="9">
        <f t="shared" si="13"/>
        <v>101.55787685999995</v>
      </c>
      <c r="R27" s="9">
        <f t="shared" si="13"/>
        <v>107.79504349000003</v>
      </c>
      <c r="S27" s="9">
        <f t="shared" si="13"/>
        <v>114.86247155000001</v>
      </c>
      <c r="T27" s="9">
        <f t="shared" si="13"/>
        <v>122.25991159131371</v>
      </c>
      <c r="U27" s="9">
        <f t="shared" si="13"/>
        <v>111.77414360000003</v>
      </c>
      <c r="V27" s="9">
        <f t="shared" si="13"/>
        <v>94.280945699999961</v>
      </c>
      <c r="W27" s="9">
        <f t="shared" si="13"/>
        <v>112.88332715000003</v>
      </c>
      <c r="X27" s="9">
        <f t="shared" si="13"/>
        <v>116.98639696786805</v>
      </c>
      <c r="Y27" s="9">
        <f>Y25+Y24+Y23+Y21</f>
        <v>81.928218009471976</v>
      </c>
      <c r="Z27" s="9">
        <f t="shared" si="13"/>
        <v>94.606332352696029</v>
      </c>
      <c r="AA27" s="9">
        <f t="shared" si="13"/>
        <v>18.88394693551561</v>
      </c>
      <c r="AB27" s="9">
        <f t="shared" si="13"/>
        <v>111.61593706577845</v>
      </c>
      <c r="AC27" s="9">
        <f>AC25+AC24+AC23+AC21</f>
        <v>92.770078490742222</v>
      </c>
      <c r="AD27" s="9">
        <f t="shared" ref="AD27:AI27" si="14">AD25+AD24+AD23+AD21</f>
        <v>97.58089049886361</v>
      </c>
      <c r="AE27" s="9">
        <f t="shared" si="14"/>
        <v>151.12684373941713</v>
      </c>
      <c r="AF27" s="9">
        <f t="shared" si="14"/>
        <v>202.35930051957493</v>
      </c>
      <c r="AG27" s="9">
        <f t="shared" si="14"/>
        <v>141.59086871995822</v>
      </c>
      <c r="AH27" s="9">
        <f t="shared" si="14"/>
        <v>84.460471638447217</v>
      </c>
      <c r="AI27" s="9">
        <f t="shared" si="14"/>
        <v>176.27623552708104</v>
      </c>
      <c r="AJ27" s="9">
        <v>105.7</v>
      </c>
      <c r="AK27" s="9">
        <f>AK21+SUM(AK23:AK25)</f>
        <v>96.544177441852113</v>
      </c>
      <c r="AL27" s="9">
        <f t="shared" ref="AL27:AP27" si="15">AL21+SUM(AL23:AL25)</f>
        <v>100.89101789324454</v>
      </c>
      <c r="AM27" s="9">
        <f t="shared" si="15"/>
        <v>115.55936479610862</v>
      </c>
      <c r="AN27" s="9">
        <f t="shared" si="15"/>
        <v>114.23647417784686</v>
      </c>
      <c r="AO27" s="9">
        <f t="shared" si="15"/>
        <v>121.78567672288831</v>
      </c>
      <c r="AP27" s="9">
        <f t="shared" si="15"/>
        <v>82.731687618598656</v>
      </c>
    </row>
    <row r="28" spans="1:42" ht="5.25" customHeight="1">
      <c r="A28" s="53">
        <v>23</v>
      </c>
      <c r="C28" s="43">
        <f t="shared" si="3"/>
        <v>0</v>
      </c>
      <c r="D28" s="43">
        <f t="shared" si="4"/>
        <v>0</v>
      </c>
      <c r="E28" s="35"/>
      <c r="G28" s="53">
        <f t="shared" si="0"/>
        <v>23</v>
      </c>
      <c r="I28" s="43"/>
      <c r="K28" s="43"/>
      <c r="M28" s="43"/>
      <c r="O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row>
    <row r="29" spans="1:42">
      <c r="A29" s="53">
        <v>24</v>
      </c>
      <c r="B29" s="6" t="s">
        <v>182</v>
      </c>
      <c r="C29" s="9">
        <f t="shared" si="3"/>
        <v>152.52194135451026</v>
      </c>
      <c r="D29" s="9">
        <f t="shared" si="4"/>
        <v>140.62608476859867</v>
      </c>
      <c r="E29" s="34">
        <f>D29/C29-1</f>
        <v>-7.7994395299898378E-2</v>
      </c>
      <c r="G29" s="53">
        <f t="shared" si="0"/>
        <v>24</v>
      </c>
      <c r="H29" s="6" t="s">
        <v>182</v>
      </c>
      <c r="I29" s="9">
        <f>+I21+I23+I24</f>
        <v>154.80143864000004</v>
      </c>
      <c r="J29" s="9">
        <f>+J21+J23+J24</f>
        <v>158.47682742000003</v>
      </c>
      <c r="K29" s="9">
        <f>+K21+K23+K24</f>
        <v>174.02438614999991</v>
      </c>
      <c r="L29" s="9">
        <f t="shared" ref="L29:X29" si="16">+L21+L23+L24</f>
        <v>204.82729756999998</v>
      </c>
      <c r="M29" s="9">
        <f t="shared" si="16"/>
        <v>163.57798306000001</v>
      </c>
      <c r="N29" s="9">
        <f t="shared" si="16"/>
        <v>154.00076002999998</v>
      </c>
      <c r="O29" s="9">
        <f t="shared" si="16"/>
        <v>156.33994453</v>
      </c>
      <c r="P29" s="9">
        <f t="shared" si="16"/>
        <v>210.16529512</v>
      </c>
      <c r="Q29" s="9">
        <f t="shared" si="16"/>
        <v>161.57641708999995</v>
      </c>
      <c r="R29" s="9">
        <f t="shared" si="16"/>
        <v>173.76847530000003</v>
      </c>
      <c r="S29" s="9">
        <f t="shared" si="16"/>
        <v>178.71600819</v>
      </c>
      <c r="T29" s="9">
        <f t="shared" si="16"/>
        <v>182.93678496131372</v>
      </c>
      <c r="U29" s="9">
        <f t="shared" si="16"/>
        <v>172.34723633000002</v>
      </c>
      <c r="V29" s="9">
        <f t="shared" si="16"/>
        <v>155.26443031999995</v>
      </c>
      <c r="W29" s="9">
        <f t="shared" si="16"/>
        <v>174.98602269000003</v>
      </c>
      <c r="X29" s="9">
        <f t="shared" si="16"/>
        <v>179.94179880786803</v>
      </c>
      <c r="Y29" s="9">
        <f>+Y21+Y23+Y24</f>
        <v>137.35431132242536</v>
      </c>
      <c r="Z29" s="9">
        <v>146.74054928974263</v>
      </c>
      <c r="AA29" s="9">
        <v>71.8350810880561</v>
      </c>
      <c r="AB29" s="9">
        <v>164.267167127025</v>
      </c>
      <c r="AC29" s="9">
        <f>+AC21+AC23+AC24</f>
        <v>145.59138903727734</v>
      </c>
      <c r="AD29" s="9">
        <f t="shared" ref="AD29:AF29" si="17">+AD21+AD23+AD24</f>
        <v>152.86288898453668</v>
      </c>
      <c r="AE29" s="9">
        <f t="shared" si="17"/>
        <v>205.14510377355552</v>
      </c>
      <c r="AF29" s="9">
        <f t="shared" si="17"/>
        <v>259.75179813484618</v>
      </c>
      <c r="AG29" s="9">
        <v>192.16434052419214</v>
      </c>
      <c r="AH29" s="9">
        <v>134.79823562171856</v>
      </c>
      <c r="AI29" s="9">
        <v>226.15829084747958</v>
      </c>
      <c r="AJ29" s="9">
        <v>160.78787264345451</v>
      </c>
      <c r="AK29" s="9">
        <f>AK27-AK25</f>
        <v>147.48367389905221</v>
      </c>
      <c r="AL29" s="9">
        <f t="shared" ref="AL29:AP29" si="18">AL27-AL25</f>
        <v>152.52194135451026</v>
      </c>
      <c r="AM29" s="9">
        <f t="shared" si="18"/>
        <v>169.65330236559942</v>
      </c>
      <c r="AN29" s="9">
        <f t="shared" si="18"/>
        <v>172.80746310768947</v>
      </c>
      <c r="AO29" s="9">
        <f t="shared" si="18"/>
        <v>178.51364012288832</v>
      </c>
      <c r="AP29" s="9">
        <f t="shared" si="18"/>
        <v>140.62608476859867</v>
      </c>
    </row>
    <row r="30" spans="1:42" ht="5.25" customHeight="1">
      <c r="A30" s="53">
        <v>25</v>
      </c>
      <c r="E30" s="35"/>
      <c r="G30" s="53">
        <f t="shared" si="0"/>
        <v>25</v>
      </c>
    </row>
    <row r="31" spans="1:42">
      <c r="A31" s="53">
        <v>26</v>
      </c>
      <c r="B31" s="5" t="s">
        <v>183</v>
      </c>
      <c r="C31" s="73">
        <f t="shared" si="3"/>
        <v>14.1</v>
      </c>
      <c r="D31" s="73">
        <f t="shared" si="4"/>
        <v>9.87079284</v>
      </c>
      <c r="E31" s="32">
        <f t="shared" ref="E31:E46" si="19">+D31/C31-1</f>
        <v>-0.29994377021276597</v>
      </c>
      <c r="F31" s="29"/>
      <c r="G31" s="53">
        <f t="shared" si="0"/>
        <v>26</v>
      </c>
      <c r="H31" s="5" t="s">
        <v>183</v>
      </c>
      <c r="I31" s="8">
        <v>2.5236214500000003</v>
      </c>
      <c r="J31" s="8">
        <v>2.7823693500000002</v>
      </c>
      <c r="K31" s="8">
        <v>3.1789319899999997</v>
      </c>
      <c r="L31" s="8">
        <v>4.2409520899999995</v>
      </c>
      <c r="M31" s="8">
        <v>4.85621904</v>
      </c>
      <c r="N31" s="8">
        <v>4.4943058100000002</v>
      </c>
      <c r="O31" s="8">
        <v>5.0033533800000001</v>
      </c>
      <c r="P31" s="8">
        <v>6.0128980599999995</v>
      </c>
      <c r="Q31" s="8">
        <v>6.3841863300000004</v>
      </c>
      <c r="R31" s="8">
        <v>4.8958357699999997</v>
      </c>
      <c r="S31" s="8">
        <v>4.9172992500000001</v>
      </c>
      <c r="T31" s="8">
        <v>5.9181313199999996</v>
      </c>
      <c r="U31" s="8">
        <v>5.0345027899999995</v>
      </c>
      <c r="V31" s="8">
        <v>2.9650799699999997</v>
      </c>
      <c r="W31" s="8">
        <v>1.7723986199999999</v>
      </c>
      <c r="X31" s="8">
        <v>1.4703000900000001</v>
      </c>
      <c r="Y31" s="8">
        <v>1.2911820900000002</v>
      </c>
      <c r="Z31" s="8">
        <v>1.1247754999999995</v>
      </c>
      <c r="AA31" s="8">
        <v>0.94209771000000098</v>
      </c>
      <c r="AB31" s="8">
        <v>1.6097711700000004</v>
      </c>
      <c r="AC31" s="8">
        <v>2.5259432800000003</v>
      </c>
      <c r="AD31" s="73">
        <v>4.2250459843980348</v>
      </c>
      <c r="AE31" s="73">
        <v>7.3874657411628988</v>
      </c>
      <c r="AF31" s="73">
        <v>14.91344703571135</v>
      </c>
      <c r="AG31" s="73">
        <v>15.365280552356621</v>
      </c>
      <c r="AH31" s="73">
        <v>16.451581692819204</v>
      </c>
      <c r="AI31" s="73">
        <v>17.627596034824165</v>
      </c>
      <c r="AJ31" s="73">
        <v>18.48180084000002</v>
      </c>
      <c r="AK31" s="73">
        <v>15.29416582</v>
      </c>
      <c r="AL31" s="73">
        <v>14.1</v>
      </c>
      <c r="AM31" s="73">
        <v>12.529303899999995</v>
      </c>
      <c r="AN31" s="73">
        <v>9.0989360799999979</v>
      </c>
      <c r="AO31" s="73">
        <v>8.9197177500000002</v>
      </c>
      <c r="AP31" s="73">
        <v>9.87079284</v>
      </c>
    </row>
    <row r="32" spans="1:42">
      <c r="A32" s="53">
        <v>27</v>
      </c>
      <c r="B32" s="5" t="s">
        <v>184</v>
      </c>
      <c r="C32" s="73">
        <f t="shared" si="3"/>
        <v>-17.600000000000001</v>
      </c>
      <c r="D32" s="73">
        <f t="shared" si="4"/>
        <v>-19.126369321278709</v>
      </c>
      <c r="E32" s="32">
        <f t="shared" si="19"/>
        <v>8.6725529618108421E-2</v>
      </c>
      <c r="F32" s="29"/>
      <c r="G32" s="53">
        <f t="shared" si="0"/>
        <v>27</v>
      </c>
      <c r="H32" s="5" t="s">
        <v>184</v>
      </c>
      <c r="I32" s="8">
        <v>-20.230824169999998</v>
      </c>
      <c r="J32" s="8">
        <v>-20.18796966</v>
      </c>
      <c r="K32" s="8">
        <v>-21.837985680000003</v>
      </c>
      <c r="L32" s="8">
        <v>-22.69717919</v>
      </c>
      <c r="M32" s="8">
        <v>-21.131099630000001</v>
      </c>
      <c r="N32" s="8">
        <v>-21.067198480000002</v>
      </c>
      <c r="O32" s="8">
        <v>-20.895725410000001</v>
      </c>
      <c r="P32" s="8">
        <v>-20.77659963</v>
      </c>
      <c r="Q32" s="8">
        <v>-20.671587080000002</v>
      </c>
      <c r="R32" s="8">
        <v>-24.948332670000003</v>
      </c>
      <c r="S32" s="8">
        <v>-22.90039531</v>
      </c>
      <c r="T32" s="8">
        <v>-22.548721329999999</v>
      </c>
      <c r="U32" s="8">
        <v>-22.52007699</v>
      </c>
      <c r="V32" s="8">
        <v>-22.69825814</v>
      </c>
      <c r="W32" s="8">
        <v>-22.93371934</v>
      </c>
      <c r="X32" s="8">
        <v>-22.307162131803203</v>
      </c>
      <c r="Y32" s="8">
        <v>-22.189419768481009</v>
      </c>
      <c r="Z32" s="8">
        <v>-21.403158571518993</v>
      </c>
      <c r="AA32" s="8">
        <v>-20.987745436041475</v>
      </c>
      <c r="AB32" s="8">
        <v>-21.766330402300618</v>
      </c>
      <c r="AC32" s="8">
        <v>-20.906411121174919</v>
      </c>
      <c r="AD32" s="73">
        <v>-20.635669950752792</v>
      </c>
      <c r="AE32" s="73">
        <v>-22.785253226507663</v>
      </c>
      <c r="AF32" s="73">
        <v>-24.395230660146005</v>
      </c>
      <c r="AG32" s="73">
        <v>-23.11978156029533</v>
      </c>
      <c r="AH32" s="73">
        <v>-22.06252987141508</v>
      </c>
      <c r="AI32" s="73">
        <v>-21.005091497896338</v>
      </c>
      <c r="AJ32" s="73">
        <v>-19.221141649354195</v>
      </c>
      <c r="AK32" s="73">
        <v>-18.378650219894105</v>
      </c>
      <c r="AL32" s="73">
        <v>-17.600000000000001</v>
      </c>
      <c r="AM32" s="73">
        <v>-17.239421995156263</v>
      </c>
      <c r="AN32" s="73">
        <v>-17.110528370318903</v>
      </c>
      <c r="AO32" s="73">
        <v>-18.353329338142188</v>
      </c>
      <c r="AP32" s="73">
        <v>-19.126369321278709</v>
      </c>
    </row>
    <row r="33" spans="1:42">
      <c r="A33" s="53">
        <v>28</v>
      </c>
      <c r="B33" s="5" t="s">
        <v>185</v>
      </c>
      <c r="C33" s="73">
        <f t="shared" si="3"/>
        <v>-0.4</v>
      </c>
      <c r="D33" s="73">
        <f t="shared" si="4"/>
        <v>0.22531929944309681</v>
      </c>
      <c r="E33" s="44" t="s">
        <v>148</v>
      </c>
      <c r="F33" s="29"/>
      <c r="G33" s="53">
        <f t="shared" si="0"/>
        <v>28</v>
      </c>
      <c r="H33" s="5" t="s">
        <v>185</v>
      </c>
      <c r="I33" s="8">
        <v>0.55841687000000062</v>
      </c>
      <c r="J33" s="8">
        <v>0.81643913000000035</v>
      </c>
      <c r="K33" s="8">
        <v>2.7404837300000033</v>
      </c>
      <c r="L33" s="8">
        <v>4.0539890799999991</v>
      </c>
      <c r="M33" s="8">
        <v>-1.1133358300000005</v>
      </c>
      <c r="N33" s="8">
        <v>-6.8534151000000021</v>
      </c>
      <c r="O33" s="8">
        <v>-1.6043168900000007</v>
      </c>
      <c r="P33" s="8">
        <v>-3.0702768400000044</v>
      </c>
      <c r="Q33" s="8">
        <v>1.2623363700000001</v>
      </c>
      <c r="R33" s="8">
        <v>0.85936775000000187</v>
      </c>
      <c r="S33" s="8">
        <v>-7.7517798999999989</v>
      </c>
      <c r="T33" s="8">
        <v>-1.5457248899999978</v>
      </c>
      <c r="U33" s="8">
        <v>-4.8135680699999979</v>
      </c>
      <c r="V33" s="8">
        <v>4.9067024800000008</v>
      </c>
      <c r="W33" s="8">
        <v>2.1286611099999933</v>
      </c>
      <c r="X33" s="8">
        <v>3.48765462486777</v>
      </c>
      <c r="Y33" s="8">
        <v>-2.8008947524970997</v>
      </c>
      <c r="Z33" s="8">
        <v>0.66380102249709749</v>
      </c>
      <c r="AA33" s="8">
        <v>-10.346410574453801</v>
      </c>
      <c r="AB33" s="8">
        <v>-1.342467725717956</v>
      </c>
      <c r="AC33" s="8">
        <v>1.4815612706860124</v>
      </c>
      <c r="AD33" s="73">
        <v>-10.969921269768113</v>
      </c>
      <c r="AE33" s="73">
        <v>-3.4658735660401963</v>
      </c>
      <c r="AF33" s="73">
        <v>10.286615351774458</v>
      </c>
      <c r="AG33" s="73">
        <v>0.95713189204547999</v>
      </c>
      <c r="AH33" s="73">
        <v>-3.10953099316851</v>
      </c>
      <c r="AI33" s="73">
        <v>-3.990900343067572</v>
      </c>
      <c r="AJ33" s="73">
        <v>-0.51105190962980673</v>
      </c>
      <c r="AK33" s="73">
        <v>0.60277939670193192</v>
      </c>
      <c r="AL33" s="73">
        <v>-0.4</v>
      </c>
      <c r="AM33" s="73">
        <v>3.2717103442165922</v>
      </c>
      <c r="AN33" s="73">
        <v>-4.8931765584808993</v>
      </c>
      <c r="AO33" s="73">
        <v>2.9222131756458105</v>
      </c>
      <c r="AP33" s="73">
        <v>0.22531929944309681</v>
      </c>
    </row>
    <row r="34" spans="1:42">
      <c r="A34" s="53">
        <v>29</v>
      </c>
      <c r="B34" s="5" t="s">
        <v>186</v>
      </c>
      <c r="C34" s="73">
        <f t="shared" si="3"/>
        <v>3.3</v>
      </c>
      <c r="D34" s="73">
        <f t="shared" si="4"/>
        <v>3.3040840899999999</v>
      </c>
      <c r="E34" s="32">
        <f t="shared" si="19"/>
        <v>1.2376030303029584E-3</v>
      </c>
      <c r="F34" s="29"/>
      <c r="G34" s="53">
        <f t="shared" si="0"/>
        <v>29</v>
      </c>
      <c r="H34" s="5" t="s">
        <v>186</v>
      </c>
      <c r="I34" s="8">
        <v>0.73980449999999998</v>
      </c>
      <c r="J34" s="8">
        <v>1.1078972599999999</v>
      </c>
      <c r="K34" s="8">
        <v>1.2924579299999999</v>
      </c>
      <c r="L34" s="8">
        <v>-0.23659015999999999</v>
      </c>
      <c r="M34" s="8">
        <v>4.6503776200000004</v>
      </c>
      <c r="N34" s="8">
        <v>2.09918505</v>
      </c>
      <c r="O34" s="8">
        <v>2.82230545</v>
      </c>
      <c r="P34" s="8">
        <v>1.8170467399999999</v>
      </c>
      <c r="Q34" s="8">
        <v>2.3436588</v>
      </c>
      <c r="R34" s="8">
        <v>2.5646927799999997</v>
      </c>
      <c r="S34" s="8">
        <v>2.1804517300000001</v>
      </c>
      <c r="T34" s="8">
        <v>2.0129498799999999</v>
      </c>
      <c r="U34" s="8">
        <v>2.3433842899999999</v>
      </c>
      <c r="V34" s="8">
        <v>2.14213787</v>
      </c>
      <c r="W34" s="8">
        <v>2.18435165</v>
      </c>
      <c r="X34" s="8">
        <v>3.2800220100000002</v>
      </c>
      <c r="Y34" s="8">
        <v>1.37134892</v>
      </c>
      <c r="Z34" s="8">
        <v>1.9524835000000005</v>
      </c>
      <c r="AA34" s="8">
        <v>2.0504456300000009</v>
      </c>
      <c r="AB34" s="8">
        <v>1.3235566899999993</v>
      </c>
      <c r="AC34" s="8">
        <v>2.6146828799999997</v>
      </c>
      <c r="AD34" s="73">
        <v>2.6078981699999999</v>
      </c>
      <c r="AE34" s="73">
        <v>3.1942974499999992</v>
      </c>
      <c r="AF34" s="73">
        <v>3.7476725300000004</v>
      </c>
      <c r="AG34" s="73">
        <v>4.0273403800000001</v>
      </c>
      <c r="AH34" s="73">
        <v>3.3727477199999996</v>
      </c>
      <c r="AI34" s="73">
        <v>2.8216744500000015</v>
      </c>
      <c r="AJ34" s="73">
        <v>2.9199357299999988</v>
      </c>
      <c r="AK34" s="73">
        <v>3.0067959500000003</v>
      </c>
      <c r="AL34" s="73">
        <v>3.3</v>
      </c>
      <c r="AM34" s="73">
        <v>3.1898200699999983</v>
      </c>
      <c r="AN34" s="73">
        <v>2.8018337499999997</v>
      </c>
      <c r="AO34" s="73">
        <v>3.2693498999999999</v>
      </c>
      <c r="AP34" s="73">
        <v>3.3040840899999999</v>
      </c>
    </row>
    <row r="35" spans="1:42">
      <c r="A35" s="53">
        <v>30</v>
      </c>
      <c r="B35" s="5" t="s">
        <v>187</v>
      </c>
      <c r="C35" s="73">
        <f t="shared" si="3"/>
        <v>-11.6</v>
      </c>
      <c r="D35" s="73">
        <f t="shared" si="4"/>
        <v>-16.854983056127061</v>
      </c>
      <c r="E35" s="44">
        <f t="shared" si="19"/>
        <v>0.45301578070060877</v>
      </c>
      <c r="F35" s="29"/>
      <c r="G35" s="53">
        <f t="shared" si="0"/>
        <v>30</v>
      </c>
      <c r="H35" s="5" t="s">
        <v>187</v>
      </c>
      <c r="I35" s="8">
        <v>-4.6026092199999997</v>
      </c>
      <c r="J35" s="8">
        <v>14.586818990000001</v>
      </c>
      <c r="K35" s="8">
        <v>-4.4328011099999998</v>
      </c>
      <c r="L35" s="8">
        <v>-90.356327449999995</v>
      </c>
      <c r="M35" s="8">
        <v>-4.1748449599999997</v>
      </c>
      <c r="N35" s="8">
        <v>-9.675633610000002</v>
      </c>
      <c r="O35" s="8">
        <v>-5.4907606900000001</v>
      </c>
      <c r="P35" s="8">
        <v>-34.22733968</v>
      </c>
      <c r="Q35" s="8">
        <v>-4.5141263599999997</v>
      </c>
      <c r="R35" s="8">
        <v>-10.757166999999999</v>
      </c>
      <c r="S35" s="8">
        <v>-9.9799288900000001</v>
      </c>
      <c r="T35" s="8">
        <v>-84.094405260000002</v>
      </c>
      <c r="U35" s="8">
        <v>-29.421527419999997</v>
      </c>
      <c r="V35" s="8">
        <v>-9.4264486699999992</v>
      </c>
      <c r="W35" s="8">
        <v>-7.9983524999999993</v>
      </c>
      <c r="X35" s="8">
        <v>-193.31770803000001</v>
      </c>
      <c r="Y35" s="8">
        <v>-21.538120462046809</v>
      </c>
      <c r="Z35" s="8">
        <v>-22.663534266708815</v>
      </c>
      <c r="AA35" s="8">
        <v>812.75313754050126</v>
      </c>
      <c r="AB35" s="8">
        <v>-161.90484948137998</v>
      </c>
      <c r="AC35" s="8">
        <v>-16.216410865869985</v>
      </c>
      <c r="AD35" s="73">
        <v>-16.079428069851605</v>
      </c>
      <c r="AE35" s="73">
        <v>-18.482136920774703</v>
      </c>
      <c r="AF35" s="73">
        <v>-26.896185183285258</v>
      </c>
      <c r="AG35" s="73">
        <v>-16.516771290284481</v>
      </c>
      <c r="AH35" s="73">
        <v>94.003499069502809</v>
      </c>
      <c r="AI35" s="73">
        <v>4.081765187940178</v>
      </c>
      <c r="AJ35" s="73">
        <v>-30.108468364107267</v>
      </c>
      <c r="AK35" s="73">
        <v>-17.130353635640486</v>
      </c>
      <c r="AL35" s="73">
        <v>-11.6</v>
      </c>
      <c r="AM35" s="73">
        <v>-9.7855918722958002</v>
      </c>
      <c r="AN35" s="73">
        <v>-35.465814822148971</v>
      </c>
      <c r="AO35" s="73">
        <v>-12.898824376048465</v>
      </c>
      <c r="AP35" s="73">
        <v>-16.854983056127061</v>
      </c>
    </row>
    <row r="36" spans="1:42" ht="5.25" customHeight="1">
      <c r="A36" s="53">
        <v>31</v>
      </c>
      <c r="E36" s="35"/>
      <c r="G36" s="53">
        <f t="shared" si="0"/>
        <v>31</v>
      </c>
    </row>
    <row r="37" spans="1:42">
      <c r="A37" s="53">
        <v>32</v>
      </c>
      <c r="B37" s="6" t="s">
        <v>188</v>
      </c>
      <c r="C37" s="9">
        <f t="shared" si="3"/>
        <v>-12.200000000000001</v>
      </c>
      <c r="D37" s="9">
        <f t="shared" si="4"/>
        <v>-22.581156147962673</v>
      </c>
      <c r="E37" s="63">
        <f t="shared" si="19"/>
        <v>0.85091443835759595</v>
      </c>
      <c r="F37" s="29"/>
      <c r="G37" s="53">
        <f t="shared" si="0"/>
        <v>32</v>
      </c>
      <c r="H37" s="6" t="s">
        <v>188</v>
      </c>
      <c r="I37" s="9">
        <f t="shared" ref="I37:AF37" si="20">SUM(I31:I35)</f>
        <v>-21.011590569999996</v>
      </c>
      <c r="J37" s="9">
        <f t="shared" si="20"/>
        <v>-0.89444493000000058</v>
      </c>
      <c r="K37" s="9">
        <f t="shared" si="20"/>
        <v>-19.058913140000001</v>
      </c>
      <c r="L37" s="9">
        <f t="shared" si="20"/>
        <v>-104.99515563</v>
      </c>
      <c r="M37" s="9">
        <f t="shared" si="20"/>
        <v>-16.91268376</v>
      </c>
      <c r="N37" s="9">
        <f t="shared" si="20"/>
        <v>-31.002756330000008</v>
      </c>
      <c r="O37" s="9">
        <f t="shared" si="20"/>
        <v>-20.165144160000001</v>
      </c>
      <c r="P37" s="9">
        <f t="shared" si="20"/>
        <v>-50.244271350000005</v>
      </c>
      <c r="Q37" s="9">
        <f t="shared" si="20"/>
        <v>-15.195531940000002</v>
      </c>
      <c r="R37" s="9">
        <f t="shared" si="20"/>
        <v>-27.385603370000002</v>
      </c>
      <c r="S37" s="9">
        <f t="shared" si="20"/>
        <v>-33.534353119999999</v>
      </c>
      <c r="T37" s="9">
        <f t="shared" si="20"/>
        <v>-100.25777028</v>
      </c>
      <c r="U37" s="9">
        <f t="shared" si="20"/>
        <v>-49.377285399999998</v>
      </c>
      <c r="V37" s="9">
        <f t="shared" si="20"/>
        <v>-22.110786490000002</v>
      </c>
      <c r="W37" s="9">
        <f t="shared" si="20"/>
        <v>-24.846660460000006</v>
      </c>
      <c r="X37" s="9">
        <f t="shared" si="20"/>
        <v>-207.38689343693545</v>
      </c>
      <c r="Y37" s="9">
        <f t="shared" si="20"/>
        <v>-43.865903973024921</v>
      </c>
      <c r="Z37" s="9">
        <f t="shared" si="20"/>
        <v>-40.325632815730714</v>
      </c>
      <c r="AA37" s="9">
        <f t="shared" si="20"/>
        <v>784.41152487000602</v>
      </c>
      <c r="AB37" s="9">
        <f t="shared" si="20"/>
        <v>-182.08031974939854</v>
      </c>
      <c r="AC37" s="9">
        <f t="shared" si="20"/>
        <v>-30.500634556358893</v>
      </c>
      <c r="AD37" s="9">
        <f t="shared" si="20"/>
        <v>-40.852075135974474</v>
      </c>
      <c r="AE37" s="9">
        <f t="shared" si="20"/>
        <v>-34.151500522159665</v>
      </c>
      <c r="AF37" s="9">
        <f t="shared" si="20"/>
        <v>-22.343680925945456</v>
      </c>
      <c r="AG37" s="9">
        <v>-19.286800026177708</v>
      </c>
      <c r="AH37" s="9">
        <v>88.65576761773842</v>
      </c>
      <c r="AI37" s="9">
        <v>-0.46495616983959565</v>
      </c>
      <c r="AJ37" s="9">
        <v>-28.43892535309125</v>
      </c>
      <c r="AK37" s="9">
        <f>SUM(AK31:AK35)</f>
        <v>-16.60526268883266</v>
      </c>
      <c r="AL37" s="9">
        <f t="shared" ref="AL37:AP37" si="21">SUM(AL31:AL35)</f>
        <v>-12.200000000000001</v>
      </c>
      <c r="AM37" s="9">
        <f t="shared" si="21"/>
        <v>-8.0341795532354787</v>
      </c>
      <c r="AN37" s="9">
        <f t="shared" si="21"/>
        <v>-45.568749920948775</v>
      </c>
      <c r="AO37" s="9">
        <f t="shared" si="21"/>
        <v>-16.140872888544841</v>
      </c>
      <c r="AP37" s="9">
        <f t="shared" si="21"/>
        <v>-22.581156147962673</v>
      </c>
    </row>
    <row r="38" spans="1:42" ht="5.25" customHeight="1">
      <c r="A38" s="53">
        <v>33</v>
      </c>
      <c r="E38" s="67"/>
      <c r="G38" s="53">
        <f t="shared" si="0"/>
        <v>33</v>
      </c>
    </row>
    <row r="39" spans="1:42">
      <c r="A39" s="53">
        <v>34</v>
      </c>
      <c r="B39" s="6" t="s">
        <v>189</v>
      </c>
      <c r="C39" s="9">
        <f t="shared" si="3"/>
        <v>88.691017893244535</v>
      </c>
      <c r="D39" s="9">
        <f t="shared" si="4"/>
        <v>60.150531470635983</v>
      </c>
      <c r="E39" s="63">
        <f t="shared" si="19"/>
        <v>-0.32179680761993423</v>
      </c>
      <c r="F39" s="29"/>
      <c r="G39" s="53">
        <f t="shared" si="0"/>
        <v>34</v>
      </c>
      <c r="H39" s="6" t="s">
        <v>189</v>
      </c>
      <c r="I39" s="9">
        <f t="shared" ref="I39:AF39" si="22">I37+I27</f>
        <v>74.216873800000016</v>
      </c>
      <c r="J39" s="9">
        <f t="shared" si="22"/>
        <v>97.210981720000021</v>
      </c>
      <c r="K39" s="9">
        <f t="shared" si="22"/>
        <v>95.434274109999905</v>
      </c>
      <c r="L39" s="9">
        <f t="shared" si="22"/>
        <v>55.820120349999968</v>
      </c>
      <c r="M39" s="9">
        <f t="shared" si="22"/>
        <v>88.046273450000001</v>
      </c>
      <c r="N39" s="9">
        <f t="shared" si="22"/>
        <v>64.174972109999985</v>
      </c>
      <c r="O39" s="9">
        <f t="shared" si="22"/>
        <v>76.681309470000002</v>
      </c>
      <c r="P39" s="9">
        <f t="shared" si="22"/>
        <v>99.901983969999989</v>
      </c>
      <c r="Q39" s="9">
        <f t="shared" si="22"/>
        <v>86.362344919999941</v>
      </c>
      <c r="R39" s="9">
        <f t="shared" si="22"/>
        <v>80.409440120000028</v>
      </c>
      <c r="S39" s="9">
        <f t="shared" si="22"/>
        <v>81.328118430000018</v>
      </c>
      <c r="T39" s="9">
        <f t="shared" si="22"/>
        <v>22.002141311313707</v>
      </c>
      <c r="U39" s="9">
        <f t="shared" si="22"/>
        <v>62.396858200000032</v>
      </c>
      <c r="V39" s="9">
        <f t="shared" si="22"/>
        <v>72.170159209999952</v>
      </c>
      <c r="W39" s="9">
        <f t="shared" si="22"/>
        <v>88.036666690000018</v>
      </c>
      <c r="X39" s="9">
        <f t="shared" si="22"/>
        <v>-90.400496469067406</v>
      </c>
      <c r="Y39" s="9">
        <f t="shared" si="22"/>
        <v>38.062314036447056</v>
      </c>
      <c r="Z39" s="9">
        <f t="shared" si="22"/>
        <v>54.280699536965315</v>
      </c>
      <c r="AA39" s="9">
        <f t="shared" si="22"/>
        <v>803.29547180552163</v>
      </c>
      <c r="AB39" s="9">
        <f t="shared" si="22"/>
        <v>-70.464382683620087</v>
      </c>
      <c r="AC39" s="9">
        <f t="shared" si="22"/>
        <v>62.269443934383332</v>
      </c>
      <c r="AD39" s="9">
        <f t="shared" si="22"/>
        <v>56.728815362889137</v>
      </c>
      <c r="AE39" s="9">
        <f t="shared" si="22"/>
        <v>116.97534321725746</v>
      </c>
      <c r="AF39" s="9">
        <f t="shared" si="22"/>
        <v>180.01561959362948</v>
      </c>
      <c r="AG39" s="9">
        <v>122.30406869378007</v>
      </c>
      <c r="AH39" s="9">
        <v>173.11623925618562</v>
      </c>
      <c r="AI39" s="9">
        <v>175.81127935724157</v>
      </c>
      <c r="AJ39" s="9">
        <v>77.261074646908753</v>
      </c>
      <c r="AK39" s="9">
        <f>AK27+AK37</f>
        <v>79.938914753019446</v>
      </c>
      <c r="AL39" s="9">
        <f t="shared" ref="AL39:AP39" si="23">AL27+AL37</f>
        <v>88.691017893244535</v>
      </c>
      <c r="AM39" s="9">
        <f t="shared" si="23"/>
        <v>107.52518524287315</v>
      </c>
      <c r="AN39" s="9">
        <f t="shared" si="23"/>
        <v>68.667724256898083</v>
      </c>
      <c r="AO39" s="9">
        <f t="shared" si="23"/>
        <v>105.64480383434346</v>
      </c>
      <c r="AP39" s="9">
        <f t="shared" si="23"/>
        <v>60.150531470635983</v>
      </c>
    </row>
    <row r="40" spans="1:42" ht="5.25" customHeight="1">
      <c r="A40" s="53">
        <v>35</v>
      </c>
      <c r="E40" s="67"/>
      <c r="G40" s="53">
        <f t="shared" si="0"/>
        <v>35</v>
      </c>
    </row>
    <row r="41" spans="1:42">
      <c r="A41" s="53">
        <v>36</v>
      </c>
      <c r="B41" s="5" t="s">
        <v>190</v>
      </c>
      <c r="C41" s="73">
        <f t="shared" si="3"/>
        <v>-27.175659390229544</v>
      </c>
      <c r="D41" s="73">
        <f t="shared" si="4"/>
        <v>-11.925988454357373</v>
      </c>
      <c r="E41" s="44">
        <f t="shared" si="19"/>
        <v>-0.56115182770339256</v>
      </c>
      <c r="F41" s="29"/>
      <c r="G41" s="53">
        <f t="shared" si="0"/>
        <v>36</v>
      </c>
      <c r="H41" s="5" t="s">
        <v>190</v>
      </c>
      <c r="I41" s="8">
        <v>-13.69505232</v>
      </c>
      <c r="J41" s="8">
        <v>-18.882848859999999</v>
      </c>
      <c r="K41" s="8">
        <v>-25.223481329999998</v>
      </c>
      <c r="L41" s="8">
        <v>23.721189170000002</v>
      </c>
      <c r="M41" s="8">
        <v>-23.63957486</v>
      </c>
      <c r="N41" s="8">
        <v>-19.410159239999999</v>
      </c>
      <c r="O41" s="8">
        <v>-22.801540859999999</v>
      </c>
      <c r="P41" s="8">
        <v>-32.56690244</v>
      </c>
      <c r="Q41" s="8">
        <v>-20.027774229999999</v>
      </c>
      <c r="R41" s="8">
        <v>-19.03428903</v>
      </c>
      <c r="S41" s="8">
        <v>-26.635552539999999</v>
      </c>
      <c r="T41" s="8">
        <v>-2.5187302100000011</v>
      </c>
      <c r="U41" s="8">
        <v>-21.937182589999999</v>
      </c>
      <c r="V41" s="8">
        <v>-22.502922009999999</v>
      </c>
      <c r="W41" s="8">
        <v>-25.82951456</v>
      </c>
      <c r="X41" s="8">
        <v>27.518141006061192</v>
      </c>
      <c r="Y41" s="8">
        <v>-79.278427563875454</v>
      </c>
      <c r="Z41" s="8">
        <v>-21.395758066124547</v>
      </c>
      <c r="AA41" s="8">
        <v>-202.3945264733305</v>
      </c>
      <c r="AB41" s="8">
        <v>18.076551095056629</v>
      </c>
      <c r="AC41" s="8">
        <v>-6.3894801624248103</v>
      </c>
      <c r="AD41" s="73">
        <v>-19.026564867421037</v>
      </c>
      <c r="AE41" s="73">
        <v>-36.315230687438586</v>
      </c>
      <c r="AF41" s="73">
        <v>-43.801853936794899</v>
      </c>
      <c r="AG41" s="73">
        <v>-30.363846805485231</v>
      </c>
      <c r="AH41" s="73">
        <v>-41.897685534137572</v>
      </c>
      <c r="AI41" s="73">
        <v>-51.413406697886153</v>
      </c>
      <c r="AJ41" s="73">
        <v>-21.02666435082407</v>
      </c>
      <c r="AK41" s="73">
        <v>-21.08849933620964</v>
      </c>
      <c r="AL41" s="73">
        <v>-27.175659390229544</v>
      </c>
      <c r="AM41" s="73">
        <v>-24.803361216954865</v>
      </c>
      <c r="AN41" s="73">
        <v>-14.510160670110398</v>
      </c>
      <c r="AO41" s="73">
        <v>-23.254707843044876</v>
      </c>
      <c r="AP41" s="73">
        <v>-11.925988454357373</v>
      </c>
    </row>
    <row r="42" spans="1:42" ht="6.75" customHeight="1">
      <c r="A42" s="53">
        <v>37</v>
      </c>
      <c r="E42" s="67"/>
      <c r="G42" s="53">
        <f t="shared" si="0"/>
        <v>37</v>
      </c>
    </row>
    <row r="43" spans="1:42">
      <c r="A43" s="53">
        <v>38</v>
      </c>
      <c r="B43" s="3" t="s">
        <v>191</v>
      </c>
      <c r="C43" s="16">
        <f t="shared" si="3"/>
        <v>61.515358503014994</v>
      </c>
      <c r="D43" s="16">
        <f t="shared" si="4"/>
        <v>48.224543016278609</v>
      </c>
      <c r="E43" s="45">
        <f t="shared" si="19"/>
        <v>-0.21605686466226115</v>
      </c>
      <c r="F43" s="29"/>
      <c r="G43" s="53">
        <f t="shared" si="0"/>
        <v>38</v>
      </c>
      <c r="H43" s="3" t="s">
        <v>191</v>
      </c>
      <c r="I43" s="10">
        <f t="shared" ref="I43:AF43" si="24">I39+I41</f>
        <v>60.521821480000014</v>
      </c>
      <c r="J43" s="10">
        <f t="shared" si="24"/>
        <v>78.328132860000025</v>
      </c>
      <c r="K43" s="10">
        <f t="shared" si="24"/>
        <v>70.210792779999906</v>
      </c>
      <c r="L43" s="10">
        <f t="shared" si="24"/>
        <v>79.54130951999997</v>
      </c>
      <c r="M43" s="10">
        <f t="shared" si="24"/>
        <v>64.406698590000005</v>
      </c>
      <c r="N43" s="10">
        <f t="shared" si="24"/>
        <v>44.764812869999986</v>
      </c>
      <c r="O43" s="10">
        <f t="shared" si="24"/>
        <v>53.879768609999999</v>
      </c>
      <c r="P43" s="10">
        <f t="shared" si="24"/>
        <v>67.335081529999997</v>
      </c>
      <c r="Q43" s="10">
        <f t="shared" si="24"/>
        <v>66.334570689999936</v>
      </c>
      <c r="R43" s="10">
        <f t="shared" si="24"/>
        <v>61.375151090000031</v>
      </c>
      <c r="S43" s="10">
        <f t="shared" si="24"/>
        <v>54.692565890000019</v>
      </c>
      <c r="T43" s="10">
        <f t="shared" si="24"/>
        <v>19.483411101313706</v>
      </c>
      <c r="U43" s="10">
        <f t="shared" si="24"/>
        <v>40.459675610000033</v>
      </c>
      <c r="V43" s="10">
        <f t="shared" si="24"/>
        <v>49.667237199999953</v>
      </c>
      <c r="W43" s="10">
        <f t="shared" si="24"/>
        <v>62.207152130000019</v>
      </c>
      <c r="X43" s="16">
        <f>X39+X41</f>
        <v>-62.882355463006213</v>
      </c>
      <c r="Y43" s="16">
        <f t="shared" si="24"/>
        <v>-41.216113527428398</v>
      </c>
      <c r="Z43" s="16">
        <f t="shared" si="24"/>
        <v>32.884941470840772</v>
      </c>
      <c r="AA43" s="16">
        <f t="shared" si="24"/>
        <v>600.9009453321911</v>
      </c>
      <c r="AB43" s="16">
        <f t="shared" si="24"/>
        <v>-52.387831588563458</v>
      </c>
      <c r="AC43" s="16">
        <f t="shared" si="24"/>
        <v>55.879963771958522</v>
      </c>
      <c r="AD43" s="16">
        <f t="shared" si="24"/>
        <v>37.7022504954681</v>
      </c>
      <c r="AE43" s="16">
        <f t="shared" si="24"/>
        <v>80.660112529818875</v>
      </c>
      <c r="AF43" s="16">
        <f t="shared" si="24"/>
        <v>136.2137656568346</v>
      </c>
      <c r="AG43" s="16">
        <v>91.940221888294843</v>
      </c>
      <c r="AH43" s="16">
        <v>131.21855372204806</v>
      </c>
      <c r="AI43" s="16">
        <v>124.397872659355</v>
      </c>
      <c r="AJ43" s="16">
        <f>AJ39+AJ41</f>
        <v>56.234410296084683</v>
      </c>
      <c r="AK43" s="16">
        <f>AK39+AK41</f>
        <v>58.85041541680981</v>
      </c>
      <c r="AL43" s="16">
        <f t="shared" ref="AL43:AP43" si="25">AL39+AL41</f>
        <v>61.515358503014994</v>
      </c>
      <c r="AM43" s="16">
        <f t="shared" si="25"/>
        <v>82.721824025918281</v>
      </c>
      <c r="AN43" s="16">
        <f t="shared" si="25"/>
        <v>54.157563586787688</v>
      </c>
      <c r="AO43" s="16">
        <f t="shared" si="25"/>
        <v>82.39009599129858</v>
      </c>
      <c r="AP43" s="16">
        <f t="shared" si="25"/>
        <v>48.224543016278609</v>
      </c>
    </row>
    <row r="44" spans="1:42" ht="5.25" customHeight="1">
      <c r="A44" s="53">
        <v>39</v>
      </c>
      <c r="E44" s="76"/>
      <c r="G44" s="53">
        <f t="shared" si="0"/>
        <v>39</v>
      </c>
    </row>
    <row r="45" spans="1:42">
      <c r="A45" s="53">
        <v>40</v>
      </c>
      <c r="B45" s="5" t="s">
        <v>192</v>
      </c>
      <c r="C45" s="73">
        <f t="shared" si="3"/>
        <v>61.781273933228306</v>
      </c>
      <c r="D45" s="73">
        <f t="shared" si="4"/>
        <v>44.206956225500349</v>
      </c>
      <c r="E45" s="44">
        <f t="shared" si="19"/>
        <v>-0.28446026747072017</v>
      </c>
      <c r="F45" s="29"/>
      <c r="G45" s="53">
        <f t="shared" si="0"/>
        <v>40</v>
      </c>
      <c r="H45" s="5" t="s">
        <v>192</v>
      </c>
      <c r="I45" s="8">
        <v>56.902500880000005</v>
      </c>
      <c r="J45" s="8">
        <v>67.315819309999995</v>
      </c>
      <c r="K45" s="8">
        <v>70.133168250000011</v>
      </c>
      <c r="L45" s="8">
        <v>76.633404929999998</v>
      </c>
      <c r="M45" s="8">
        <v>65.157573959999993</v>
      </c>
      <c r="N45" s="8">
        <v>46.496960739999999</v>
      </c>
      <c r="O45" s="8">
        <v>56.817234620000008</v>
      </c>
      <c r="P45" s="8">
        <v>71.850721269999994</v>
      </c>
      <c r="Q45" s="8">
        <v>64.403329459999995</v>
      </c>
      <c r="R45" s="8">
        <v>61.31662017</v>
      </c>
      <c r="S45" s="8">
        <v>59.087229970000003</v>
      </c>
      <c r="T45" s="8">
        <v>18.238692839152353</v>
      </c>
      <c r="U45" s="8">
        <v>43.699793619999994</v>
      </c>
      <c r="V45" s="8">
        <v>54.130137500000004</v>
      </c>
      <c r="W45" s="8">
        <v>64.605734240000004</v>
      </c>
      <c r="X45" s="8">
        <v>0.45741877699381206</v>
      </c>
      <c r="Y45" s="8">
        <v>-38.892376677428295</v>
      </c>
      <c r="Z45" s="8">
        <v>35.09246243742836</v>
      </c>
      <c r="AA45" s="8">
        <v>604.15234692999991</v>
      </c>
      <c r="AB45" s="8">
        <v>-55.052248128563633</v>
      </c>
      <c r="AC45" s="8">
        <v>47.626031201958433</v>
      </c>
      <c r="AD45" s="73">
        <v>38.84162958546812</v>
      </c>
      <c r="AE45" s="73">
        <v>80.567399019818879</v>
      </c>
      <c r="AF45" s="73">
        <v>128.93079988683485</v>
      </c>
      <c r="AG45" s="73">
        <v>87.862860418294744</v>
      </c>
      <c r="AH45" s="73">
        <v>133.9</v>
      </c>
      <c r="AI45" s="73">
        <v>117.71745612786282</v>
      </c>
      <c r="AJ45" s="73">
        <v>53.90798612488706</v>
      </c>
      <c r="AK45" s="73">
        <v>58.636304096809717</v>
      </c>
      <c r="AL45" s="73">
        <v>61.781273933228306</v>
      </c>
      <c r="AM45" s="73">
        <v>79.020418825918341</v>
      </c>
      <c r="AN45" s="73">
        <v>53.019073941408308</v>
      </c>
      <c r="AO45" s="73">
        <v>78.780487076831577</v>
      </c>
      <c r="AP45" s="73">
        <v>44.206956225500349</v>
      </c>
    </row>
    <row r="46" spans="1:42">
      <c r="A46" s="53">
        <v>41</v>
      </c>
      <c r="B46" s="5" t="s">
        <v>193</v>
      </c>
      <c r="C46" s="73">
        <f t="shared" si="3"/>
        <v>-0.31123435999999999</v>
      </c>
      <c r="D46" s="73">
        <f t="shared" si="4"/>
        <v>4.017586790778001</v>
      </c>
      <c r="E46" s="44">
        <f t="shared" si="19"/>
        <v>-13.908558010041054</v>
      </c>
      <c r="F46" s="29"/>
      <c r="G46" s="53">
        <f t="shared" si="0"/>
        <v>41</v>
      </c>
      <c r="H46" s="5" t="s">
        <v>193</v>
      </c>
      <c r="I46" s="8">
        <v>3.6193206</v>
      </c>
      <c r="J46" s="8">
        <v>11.012313550000002</v>
      </c>
      <c r="K46" s="8">
        <v>7.7624529999999914E-2</v>
      </c>
      <c r="L46" s="8">
        <v>2.90790405</v>
      </c>
      <c r="M46" s="8">
        <v>-0.7505204999999997</v>
      </c>
      <c r="N46" s="8">
        <v>-1.7321478700000001</v>
      </c>
      <c r="O46" s="8">
        <v>-2.9374660100000001</v>
      </c>
      <c r="P46" s="8">
        <v>-4.5044716199999995</v>
      </c>
      <c r="Q46" s="8">
        <v>1.1312412300000148</v>
      </c>
      <c r="R46" s="8">
        <v>5.8530919999999986E-2</v>
      </c>
      <c r="S46" s="8">
        <v>-4.3946640800000001</v>
      </c>
      <c r="T46" s="8">
        <v>1.2447182600000002</v>
      </c>
      <c r="U46" s="8">
        <v>-3.2401180099999998</v>
      </c>
      <c r="V46" s="8">
        <v>-4.4629003100000002</v>
      </c>
      <c r="W46" s="8">
        <v>-2.39858211</v>
      </c>
      <c r="X46" s="8">
        <v>-63.323743620000002</v>
      </c>
      <c r="Y46" s="8">
        <v>-2.32373685</v>
      </c>
      <c r="Z46" s="8">
        <v>-2.2075209600000001</v>
      </c>
      <c r="AA46" s="8">
        <v>-3.2498031899999997</v>
      </c>
      <c r="AB46" s="8">
        <v>2.663956750000001</v>
      </c>
      <c r="AC46" s="8">
        <v>8.2599789799999996</v>
      </c>
      <c r="AD46" s="73">
        <v>-1.1350231899999992</v>
      </c>
      <c r="AE46" s="73">
        <v>9.2713509999999388E-2</v>
      </c>
      <c r="AF46" s="73">
        <v>7.2829657699999997</v>
      </c>
      <c r="AG46" s="73">
        <v>4.0773614700000005</v>
      </c>
      <c r="AH46" s="73">
        <v>-2.7175260300000006</v>
      </c>
      <c r="AI46" s="73">
        <v>6.65</v>
      </c>
      <c r="AJ46" s="73">
        <v>2.3070095899999998</v>
      </c>
      <c r="AK46" s="73">
        <v>0.19275573999999998</v>
      </c>
      <c r="AL46" s="73">
        <v>-0.31123435999999999</v>
      </c>
      <c r="AM46" s="73">
        <v>3.7014052</v>
      </c>
      <c r="AN46" s="73">
        <v>1.116830245380001</v>
      </c>
      <c r="AO46" s="73">
        <v>3.6096089144670001</v>
      </c>
      <c r="AP46" s="73">
        <v>4.017586790778001</v>
      </c>
    </row>
    <row r="47" spans="1:42">
      <c r="C47" s="76"/>
      <c r="D47" s="76"/>
    </row>
    <row r="48" spans="1:42">
      <c r="I48" s="29"/>
      <c r="J48" s="29"/>
      <c r="K48" s="29"/>
      <c r="L48" s="29"/>
      <c r="M48" s="29"/>
      <c r="N48" s="29"/>
      <c r="O48" s="29"/>
      <c r="S48" s="29"/>
      <c r="T48" s="29"/>
      <c r="U48" s="29"/>
      <c r="V48" s="29"/>
      <c r="W48" s="29"/>
      <c r="X48" s="29"/>
      <c r="Y48" s="29"/>
      <c r="Z48" s="29"/>
      <c r="AA48" s="29"/>
      <c r="AB48" s="29"/>
      <c r="AC48" s="29"/>
    </row>
    <row r="49" spans="2:5" ht="76.5" customHeight="1">
      <c r="B49" s="135" t="s">
        <v>194</v>
      </c>
      <c r="C49" s="135"/>
      <c r="D49" s="135"/>
      <c r="E49" s="135"/>
    </row>
    <row r="50" spans="2:5" ht="207" customHeight="1">
      <c r="B50" s="135"/>
      <c r="C50" s="135"/>
      <c r="D50" s="135"/>
      <c r="E50" s="135"/>
    </row>
  </sheetData>
  <mergeCells count="39">
    <mergeCell ref="K6:K7"/>
    <mergeCell ref="L6:L7"/>
    <mergeCell ref="M6:M7"/>
    <mergeCell ref="O6:O7"/>
    <mergeCell ref="S6:S7"/>
    <mergeCell ref="R6:R7"/>
    <mergeCell ref="P6:P7"/>
    <mergeCell ref="Q6:Q7"/>
    <mergeCell ref="N6:N7"/>
    <mergeCell ref="B50:E50"/>
    <mergeCell ref="I6:I7"/>
    <mergeCell ref="J6:J7"/>
    <mergeCell ref="C6:C7"/>
    <mergeCell ref="D6:D7"/>
    <mergeCell ref="E6:E7"/>
    <mergeCell ref="B49:E49"/>
    <mergeCell ref="T6:T7"/>
    <mergeCell ref="U6:U7"/>
    <mergeCell ref="AI6:AI7"/>
    <mergeCell ref="AH6:AH7"/>
    <mergeCell ref="AG6:AG7"/>
    <mergeCell ref="AF6:AF7"/>
    <mergeCell ref="AE6:AE7"/>
    <mergeCell ref="AD6:AD7"/>
    <mergeCell ref="AC6:AC7"/>
    <mergeCell ref="W6:W7"/>
    <mergeCell ref="V6:V7"/>
    <mergeCell ref="X6:X7"/>
    <mergeCell ref="AB6:AB7"/>
    <mergeCell ref="Y6:Y7"/>
    <mergeCell ref="AA6:AA7"/>
    <mergeCell ref="Z6:Z7"/>
    <mergeCell ref="AO6:AO7"/>
    <mergeCell ref="AP6:AP7"/>
    <mergeCell ref="AL6:AL7"/>
    <mergeCell ref="AK6:AK7"/>
    <mergeCell ref="AJ6:AJ7"/>
    <mergeCell ref="AN6:AN7"/>
    <mergeCell ref="AM6:AM7"/>
  </mergeCells>
  <phoneticPr fontId="14" type="noConversion"/>
  <pageMargins left="0.7" right="0.7" top="0.75" bottom="0.75" header="0.3" footer="0.3"/>
  <pageSetup orientation="portrait" r:id="rId1"/>
  <ignoredErrors>
    <ignoredError sqref="P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9" tint="0.79998168889431442"/>
  </sheetPr>
  <dimension ref="A2:BB73"/>
  <sheetViews>
    <sheetView zoomScaleNormal="100" zoomScaleSheetLayoutView="100" workbookViewId="0">
      <selection activeCell="A7" sqref="A7:A33"/>
    </sheetView>
  </sheetViews>
  <sheetFormatPr defaultColWidth="11.42578125" defaultRowHeight="15"/>
  <cols>
    <col min="1" max="1" width="3" style="1" bestFit="1" customWidth="1"/>
    <col min="2" max="2" width="37.7109375" style="1" bestFit="1" customWidth="1"/>
    <col min="3" max="4" width="7.85546875" style="1" bestFit="1" customWidth="1"/>
    <col min="5" max="5" width="6" style="1" bestFit="1" customWidth="1"/>
    <col min="6" max="6" width="11.42578125" style="1" customWidth="1"/>
    <col min="7" max="7" width="3" style="53" bestFit="1" customWidth="1"/>
    <col min="8" max="8" width="37.7109375" style="1" bestFit="1" customWidth="1"/>
    <col min="9" max="15" width="7.85546875" style="1" bestFit="1" customWidth="1"/>
    <col min="16" max="16" width="7.140625" style="1" bestFit="1" customWidth="1"/>
    <col min="17" max="54" width="7.85546875" style="1" bestFit="1" customWidth="1"/>
    <col min="55" max="16384" width="11.42578125" style="1"/>
  </cols>
  <sheetData>
    <row r="2" spans="1:54">
      <c r="F2" s="78"/>
    </row>
    <row r="3" spans="1:54">
      <c r="F3" s="49"/>
    </row>
    <row r="5" spans="1:54" ht="23.25">
      <c r="B5" s="11" t="s">
        <v>195</v>
      </c>
      <c r="C5" s="12"/>
      <c r="D5" s="12"/>
      <c r="E5" s="12"/>
      <c r="H5" s="11" t="s">
        <v>195</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row>
    <row r="7" spans="1:54" s="123" customFormat="1">
      <c r="A7" s="124">
        <v>1</v>
      </c>
      <c r="B7" s="3" t="s">
        <v>196</v>
      </c>
      <c r="C7" s="134" t="s">
        <v>141</v>
      </c>
      <c r="D7" s="134" t="s">
        <v>237</v>
      </c>
      <c r="E7" s="134" t="s">
        <v>197</v>
      </c>
      <c r="G7" s="124">
        <v>1</v>
      </c>
      <c r="H7" s="3" t="s">
        <v>196</v>
      </c>
      <c r="I7" s="134" t="s">
        <v>101</v>
      </c>
      <c r="J7" s="134" t="s">
        <v>102</v>
      </c>
      <c r="K7" s="134" t="s">
        <v>103</v>
      </c>
      <c r="L7" s="134" t="s">
        <v>104</v>
      </c>
      <c r="M7" s="134" t="s">
        <v>105</v>
      </c>
      <c r="N7" s="134" t="s">
        <v>106</v>
      </c>
      <c r="O7" s="134" t="s">
        <v>107</v>
      </c>
      <c r="P7" s="134" t="s">
        <v>108</v>
      </c>
      <c r="Q7" s="134" t="s">
        <v>109</v>
      </c>
      <c r="R7" s="134" t="s">
        <v>110</v>
      </c>
      <c r="S7" s="134" t="s">
        <v>111</v>
      </c>
      <c r="T7" s="134" t="s">
        <v>112</v>
      </c>
      <c r="U7" s="134" t="s">
        <v>113</v>
      </c>
      <c r="V7" s="134" t="s">
        <v>114</v>
      </c>
      <c r="W7" s="134" t="s">
        <v>115</v>
      </c>
      <c r="X7" s="134" t="s">
        <v>116</v>
      </c>
      <c r="Y7" s="134" t="s">
        <v>117</v>
      </c>
      <c r="Z7" s="134" t="s">
        <v>118</v>
      </c>
      <c r="AA7" s="134" t="s">
        <v>119</v>
      </c>
      <c r="AB7" s="134" t="s">
        <v>120</v>
      </c>
      <c r="AC7" s="134" t="s">
        <v>121</v>
      </c>
      <c r="AD7" s="134" t="s">
        <v>122</v>
      </c>
      <c r="AE7" s="134" t="s">
        <v>123</v>
      </c>
      <c r="AF7" s="134" t="s">
        <v>124</v>
      </c>
      <c r="AG7" s="134" t="s">
        <v>125</v>
      </c>
      <c r="AH7" s="134" t="s">
        <v>126</v>
      </c>
      <c r="AI7" s="134" t="s">
        <v>127</v>
      </c>
      <c r="AJ7" s="134" t="s">
        <v>128</v>
      </c>
      <c r="AK7" s="134" t="s">
        <v>129</v>
      </c>
      <c r="AL7" s="134" t="s">
        <v>130</v>
      </c>
      <c r="AM7" s="134" t="s">
        <v>131</v>
      </c>
      <c r="AN7" s="134" t="s">
        <v>132</v>
      </c>
      <c r="AO7" s="134" t="s">
        <v>133</v>
      </c>
      <c r="AP7" s="134" t="s">
        <v>134</v>
      </c>
      <c r="AQ7" s="134" t="s">
        <v>135</v>
      </c>
      <c r="AR7" s="134" t="s">
        <v>136</v>
      </c>
      <c r="AS7" s="134" t="s">
        <v>137</v>
      </c>
      <c r="AT7" s="134" t="s">
        <v>138</v>
      </c>
      <c r="AU7" s="134" t="s">
        <v>139</v>
      </c>
      <c r="AV7" s="134" t="s">
        <v>98</v>
      </c>
      <c r="AW7" s="134" t="s">
        <v>140</v>
      </c>
      <c r="AX7" s="134" t="s">
        <v>141</v>
      </c>
      <c r="AY7" s="134" t="s">
        <v>142</v>
      </c>
      <c r="AZ7" s="134" t="s">
        <v>99</v>
      </c>
      <c r="BA7" s="134" t="s">
        <v>236</v>
      </c>
      <c r="BB7" s="134" t="s">
        <v>237</v>
      </c>
    </row>
    <row r="8" spans="1:54" s="123" customFormat="1">
      <c r="A8" s="124">
        <v>2</v>
      </c>
      <c r="B8" s="3" t="s">
        <v>166</v>
      </c>
      <c r="C8" s="134"/>
      <c r="D8" s="134"/>
      <c r="E8" s="134"/>
      <c r="G8" s="124">
        <f>G7+1</f>
        <v>2</v>
      </c>
      <c r="H8" s="3" t="s">
        <v>166</v>
      </c>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row>
    <row r="9" spans="1:54">
      <c r="A9" s="53">
        <v>3</v>
      </c>
      <c r="G9" s="53">
        <f t="shared" ref="G9:G33" si="0">G8+1</f>
        <v>3</v>
      </c>
    </row>
    <row r="10" spans="1:54">
      <c r="A10" s="53">
        <v>4</v>
      </c>
      <c r="B10" s="92" t="s">
        <v>196</v>
      </c>
      <c r="C10" s="93">
        <f t="shared" ref="C10:C15" si="1">HLOOKUP($C$7,$H$7:$BO$33,$G10,FALSE)</f>
        <v>372.45664942931512</v>
      </c>
      <c r="D10" s="93">
        <f t="shared" ref="D10:D15" si="2">HLOOKUP($D$7,$H$7:$BO$33,$G10,FALSE)</f>
        <v>345.25462110839408</v>
      </c>
      <c r="E10" s="94">
        <f t="shared" ref="E10:E33" si="3">D10/C10-1</f>
        <v>-7.3034078899116173E-2</v>
      </c>
      <c r="G10" s="53">
        <f t="shared" si="0"/>
        <v>4</v>
      </c>
      <c r="H10" s="92" t="s">
        <v>196</v>
      </c>
      <c r="I10" s="93">
        <f t="shared" ref="I10:AI10" si="4">SUM(I11:I15)</f>
        <v>413.24504169000005</v>
      </c>
      <c r="J10" s="93">
        <f t="shared" si="4"/>
        <v>408.02186204000003</v>
      </c>
      <c r="K10" s="93">
        <f t="shared" si="4"/>
        <v>351.24406281</v>
      </c>
      <c r="L10" s="93">
        <f t="shared" si="4"/>
        <v>330.06554598999998</v>
      </c>
      <c r="M10" s="93">
        <f t="shared" si="4"/>
        <v>317.00992109000003</v>
      </c>
      <c r="N10" s="93">
        <f t="shared" si="4"/>
        <v>358.45925773000005</v>
      </c>
      <c r="O10" s="93">
        <f t="shared" si="4"/>
        <v>336.99432981999996</v>
      </c>
      <c r="P10" s="93">
        <f t="shared" si="4"/>
        <v>295.2</v>
      </c>
      <c r="Q10" s="93">
        <f t="shared" si="4"/>
        <v>306.96104971</v>
      </c>
      <c r="R10" s="93">
        <f t="shared" si="4"/>
        <v>315.18701463999997</v>
      </c>
      <c r="S10" s="93">
        <f t="shared" si="4"/>
        <v>285.26607687999996</v>
      </c>
      <c r="T10" s="93">
        <f t="shared" si="4"/>
        <v>312.09914898</v>
      </c>
      <c r="U10" s="93">
        <f t="shared" si="4"/>
        <v>334.40723076999996</v>
      </c>
      <c r="V10" s="93">
        <f t="shared" si="4"/>
        <v>346.55393107000003</v>
      </c>
      <c r="W10" s="93">
        <f t="shared" si="4"/>
        <v>332.52042805999997</v>
      </c>
      <c r="X10" s="93">
        <f t="shared" si="4"/>
        <v>342.09300468000004</v>
      </c>
      <c r="Y10" s="93">
        <f t="shared" si="4"/>
        <v>353.94514801000003</v>
      </c>
      <c r="Z10" s="93">
        <f t="shared" si="4"/>
        <v>348.51063906000007</v>
      </c>
      <c r="AA10" s="93">
        <f t="shared" si="4"/>
        <v>320.06585212000005</v>
      </c>
      <c r="AB10" s="93">
        <f>+AB11+AB12+AB13+AB14+AB15</f>
        <v>347.33065854</v>
      </c>
      <c r="AC10" s="93">
        <f t="shared" si="4"/>
        <v>341.09638778000004</v>
      </c>
      <c r="AD10" s="93">
        <f t="shared" si="4"/>
        <v>349.16334979000004</v>
      </c>
      <c r="AE10" s="93">
        <f t="shared" si="4"/>
        <v>336.11869616000007</v>
      </c>
      <c r="AF10" s="93">
        <f>SUM(AF11:AF15)</f>
        <v>304.75488297216134</v>
      </c>
      <c r="AG10" s="93">
        <f t="shared" si="4"/>
        <v>304.92839223000004</v>
      </c>
      <c r="AH10" s="93">
        <f t="shared" si="4"/>
        <v>291.72425158999999</v>
      </c>
      <c r="AI10" s="93">
        <f t="shared" si="4"/>
        <v>301.11284210999997</v>
      </c>
      <c r="AJ10" s="93">
        <f>SUM(AJ11:AJ15)</f>
        <v>291.66198053907101</v>
      </c>
      <c r="AK10" s="93">
        <f>SUM(AK11:AK15)</f>
        <v>297.6257196794561</v>
      </c>
      <c r="AL10" s="93">
        <f>SUM(AL11:AL14)</f>
        <v>322.26952723054387</v>
      </c>
      <c r="AM10" s="93">
        <f>SUM(AM11:AM15)</f>
        <v>296.19064495000003</v>
      </c>
      <c r="AN10" s="93">
        <v>330</v>
      </c>
      <c r="AO10" s="93">
        <f>+SUM(AO11:AO15)</f>
        <v>361.71194770738282</v>
      </c>
      <c r="AP10" s="93">
        <f>+SUM(AP11:AP15)</f>
        <v>460.96481391606233</v>
      </c>
      <c r="AQ10" s="93">
        <f t="shared" ref="AQ10:AR10" si="5">+SUM(AQ11:AQ15)</f>
        <v>429.02000000000004</v>
      </c>
      <c r="AR10" s="93">
        <f t="shared" si="5"/>
        <v>469.80545140927131</v>
      </c>
      <c r="AS10" s="93">
        <f>554.589704572665-AS45</f>
        <v>495.03860299266501</v>
      </c>
      <c r="AT10" s="93">
        <f t="shared" ref="AT10:BB10" si="6">SUM(AT11:AT15)</f>
        <v>482.33148441124291</v>
      </c>
      <c r="AU10" s="93">
        <f t="shared" si="6"/>
        <v>367.22722675469447</v>
      </c>
      <c r="AV10" s="93">
        <f t="shared" si="6"/>
        <v>346.78685161240321</v>
      </c>
      <c r="AW10" s="93">
        <f t="shared" si="6"/>
        <v>331.14380487600795</v>
      </c>
      <c r="AX10" s="93">
        <f t="shared" si="6"/>
        <v>372.45664942931512</v>
      </c>
      <c r="AY10" s="93">
        <f t="shared" si="6"/>
        <v>324.18554776931705</v>
      </c>
      <c r="AZ10" s="93">
        <f t="shared" si="6"/>
        <v>327.16637211707251</v>
      </c>
      <c r="BA10" s="93">
        <f t="shared" si="6"/>
        <v>356.12181162999997</v>
      </c>
      <c r="BB10" s="93">
        <f t="shared" si="6"/>
        <v>345.25462110839408</v>
      </c>
    </row>
    <row r="11" spans="1:54">
      <c r="A11" s="53">
        <v>5</v>
      </c>
      <c r="B11" s="5" t="s">
        <v>198</v>
      </c>
      <c r="C11" s="7">
        <f t="shared" si="1"/>
        <v>36.605826069999999</v>
      </c>
      <c r="D11" s="7">
        <f t="shared" si="2"/>
        <v>50.888261739999997</v>
      </c>
      <c r="E11" s="32">
        <f t="shared" si="3"/>
        <v>0.39016837491081913</v>
      </c>
      <c r="G11" s="53">
        <f t="shared" si="0"/>
        <v>5</v>
      </c>
      <c r="H11" s="5" t="s">
        <v>198</v>
      </c>
      <c r="I11" s="7">
        <v>165.97948997</v>
      </c>
      <c r="J11" s="7">
        <v>188.49707770999999</v>
      </c>
      <c r="K11" s="7">
        <v>186.63649657999997</v>
      </c>
      <c r="L11" s="7">
        <v>183.50712984</v>
      </c>
      <c r="M11" s="7">
        <v>167.63677664999997</v>
      </c>
      <c r="N11" s="7">
        <v>168.71629537000001</v>
      </c>
      <c r="O11" s="7">
        <v>144.29418787999998</v>
      </c>
      <c r="P11" s="7">
        <v>138</v>
      </c>
      <c r="Q11" s="7">
        <v>170.95826696</v>
      </c>
      <c r="R11" s="7">
        <v>147.25569370999997</v>
      </c>
      <c r="S11" s="7">
        <v>156.87191987999995</v>
      </c>
      <c r="T11" s="7">
        <v>162.03334683000003</v>
      </c>
      <c r="U11" s="7">
        <v>174.07059289</v>
      </c>
      <c r="V11" s="7">
        <v>164.98893743000002</v>
      </c>
      <c r="W11" s="7">
        <v>169.59507421999999</v>
      </c>
      <c r="X11" s="7">
        <v>165.59156586</v>
      </c>
      <c r="Y11" s="7">
        <v>158.00478936000002</v>
      </c>
      <c r="Z11" s="7">
        <v>149.08084310000004</v>
      </c>
      <c r="AA11" s="7">
        <v>149.56883198000003</v>
      </c>
      <c r="AB11" s="7">
        <f>166.6-AB46</f>
        <v>142.62038269999999</v>
      </c>
      <c r="AC11" s="7">
        <f>148-AC46</f>
        <v>120.40774446</v>
      </c>
      <c r="AD11" s="7">
        <v>121.72846186000001</v>
      </c>
      <c r="AE11" s="7">
        <v>122.14336145000004</v>
      </c>
      <c r="AF11" s="7">
        <f>133.84807263-AF46</f>
        <v>104.94583419999999</v>
      </c>
      <c r="AG11" s="7">
        <f>114.6884281-AG46</f>
        <v>85.40246028</v>
      </c>
      <c r="AH11" s="7">
        <f>95.65596281-AH46</f>
        <v>70.597202500000009</v>
      </c>
      <c r="AI11" s="7">
        <f>117.68062571-AI46</f>
        <v>90.903762</v>
      </c>
      <c r="AJ11" s="7">
        <f>110.34880305-AJ46</f>
        <v>82.93251309</v>
      </c>
      <c r="AK11" s="7">
        <f>107.74954268-AK46</f>
        <v>80.394318520000013</v>
      </c>
      <c r="AL11" s="7">
        <v>88.743230329999989</v>
      </c>
      <c r="AM11" s="7">
        <v>92.522331149999999</v>
      </c>
      <c r="AN11" s="7">
        <v>87.586306500000035</v>
      </c>
      <c r="AO11" s="7">
        <v>68.380471639999996</v>
      </c>
      <c r="AP11" s="7">
        <v>75.41440996</v>
      </c>
      <c r="AQ11" s="7">
        <v>87.1</v>
      </c>
      <c r="AR11" s="7">
        <v>76.240821440000019</v>
      </c>
      <c r="AS11" s="7">
        <f>123.2826618-AS46</f>
        <v>83.051899029999987</v>
      </c>
      <c r="AT11" s="7">
        <v>88.355904710000019</v>
      </c>
      <c r="AU11" s="7">
        <v>96.599977299999964</v>
      </c>
      <c r="AV11" s="7">
        <v>102.02196951000003</v>
      </c>
      <c r="AW11" s="7">
        <v>26.09</v>
      </c>
      <c r="AX11" s="7">
        <v>36.605826069999999</v>
      </c>
      <c r="AY11" s="7">
        <v>29.559452179999987</v>
      </c>
      <c r="AZ11" s="7">
        <v>38.020228710000005</v>
      </c>
      <c r="BA11" s="7">
        <v>52.056230579999998</v>
      </c>
      <c r="BB11" s="7">
        <v>50.888261739999997</v>
      </c>
    </row>
    <row r="12" spans="1:54">
      <c r="A12" s="53">
        <v>6</v>
      </c>
      <c r="B12" s="5" t="s">
        <v>199</v>
      </c>
      <c r="C12" s="7">
        <f t="shared" si="1"/>
        <v>238.37370589000002</v>
      </c>
      <c r="D12" s="7">
        <f t="shared" si="2"/>
        <v>275.39870221000001</v>
      </c>
      <c r="E12" s="32">
        <f t="shared" si="3"/>
        <v>0.15532332386142267</v>
      </c>
      <c r="G12" s="53">
        <f t="shared" si="0"/>
        <v>6</v>
      </c>
      <c r="H12" s="5" t="s">
        <v>199</v>
      </c>
      <c r="I12" s="7">
        <v>150.77243078000001</v>
      </c>
      <c r="J12" s="7">
        <v>123.92201981999999</v>
      </c>
      <c r="K12" s="7">
        <v>120.66280569000001</v>
      </c>
      <c r="L12" s="7">
        <v>106.75534663999998</v>
      </c>
      <c r="M12" s="7">
        <v>73.031641460000003</v>
      </c>
      <c r="N12" s="7">
        <v>86.392646360000015</v>
      </c>
      <c r="O12" s="7">
        <v>96.76054504999999</v>
      </c>
      <c r="P12" s="7">
        <v>101.5</v>
      </c>
      <c r="Q12" s="7">
        <v>90.937325090000002</v>
      </c>
      <c r="R12" s="7">
        <v>88.196378429999996</v>
      </c>
      <c r="S12" s="7">
        <v>87.818069400000013</v>
      </c>
      <c r="T12" s="7">
        <v>116.27806589999999</v>
      </c>
      <c r="U12" s="7">
        <v>89.859854289999987</v>
      </c>
      <c r="V12" s="7">
        <v>97.303830059999996</v>
      </c>
      <c r="W12" s="7">
        <v>106.30207426000001</v>
      </c>
      <c r="X12" s="7">
        <v>120.75143799999999</v>
      </c>
      <c r="Y12" s="7">
        <v>141.77274656</v>
      </c>
      <c r="Z12" s="40">
        <v>141.20456391000002</v>
      </c>
      <c r="AA12" s="40">
        <v>142.17470935000003</v>
      </c>
      <c r="AB12" s="7">
        <f>180-AB47</f>
        <v>173.02595392000001</v>
      </c>
      <c r="AC12" s="7">
        <f>164-AC47</f>
        <v>155.65650081000001</v>
      </c>
      <c r="AD12" s="7">
        <v>157.80371734000002</v>
      </c>
      <c r="AE12" s="7">
        <v>180.18419281999999</v>
      </c>
      <c r="AF12" s="7">
        <f>186.49362536-AF47</f>
        <v>178.32125483999999</v>
      </c>
      <c r="AG12" s="7">
        <f>168.538033-AG47</f>
        <v>163.07983377000002</v>
      </c>
      <c r="AH12" s="7">
        <f>171.75554184-AH47</f>
        <v>167.39293016000002</v>
      </c>
      <c r="AI12" s="7">
        <f>169.27509729-AI47</f>
        <v>162.71134824999999</v>
      </c>
      <c r="AJ12" s="7">
        <f>188.34526278-AJ47</f>
        <v>182.34156679</v>
      </c>
      <c r="AK12" s="7">
        <f>166.75441463-AK47</f>
        <v>160.15493628000002</v>
      </c>
      <c r="AL12" s="7">
        <v>162.52249409000001</v>
      </c>
      <c r="AM12" s="7">
        <v>149.12498557999999</v>
      </c>
      <c r="AN12" s="7">
        <v>195.05197591999996</v>
      </c>
      <c r="AO12" s="7">
        <v>230.86547482000003</v>
      </c>
      <c r="AP12" s="7">
        <v>240.11867740000002</v>
      </c>
      <c r="AQ12" s="7">
        <v>244.38</v>
      </c>
      <c r="AR12" s="7">
        <v>316.51294347999988</v>
      </c>
      <c r="AS12" s="7">
        <f>305.34072901-AS47</f>
        <v>290.08562165000001</v>
      </c>
      <c r="AT12" s="7">
        <v>278.36316868000011</v>
      </c>
      <c r="AU12" s="7">
        <v>224.04464177</v>
      </c>
      <c r="AV12" s="7">
        <v>229.19460626999995</v>
      </c>
      <c r="AW12" s="7">
        <v>228.23989657999996</v>
      </c>
      <c r="AX12" s="7">
        <v>238.37370589000002</v>
      </c>
      <c r="AY12" s="7">
        <v>230.29345588999976</v>
      </c>
      <c r="AZ12" s="7">
        <v>260.8343726400002</v>
      </c>
      <c r="BA12" s="7">
        <v>258.61600959999998</v>
      </c>
      <c r="BB12" s="7">
        <v>275.39870221000001</v>
      </c>
    </row>
    <row r="13" spans="1:54">
      <c r="A13" s="53">
        <v>7</v>
      </c>
      <c r="B13" s="5" t="s">
        <v>200</v>
      </c>
      <c r="C13" s="40">
        <f t="shared" si="1"/>
        <v>85.134310830000018</v>
      </c>
      <c r="D13" s="40">
        <f t="shared" si="2"/>
        <v>7.0803313999999915</v>
      </c>
      <c r="E13" s="44" t="s">
        <v>148</v>
      </c>
      <c r="G13" s="53">
        <f t="shared" si="0"/>
        <v>7</v>
      </c>
      <c r="H13" s="5" t="s">
        <v>200</v>
      </c>
      <c r="I13" s="7">
        <v>1.5028240999999996</v>
      </c>
      <c r="J13" s="7">
        <v>49.894180069999997</v>
      </c>
      <c r="K13" s="7">
        <v>4.4164942199999997</v>
      </c>
      <c r="L13" s="7">
        <v>0.11559316000000001</v>
      </c>
      <c r="M13" s="7">
        <v>37.97244843</v>
      </c>
      <c r="N13" s="7">
        <v>61.590290149999994</v>
      </c>
      <c r="O13" s="7">
        <v>31.334177269999998</v>
      </c>
      <c r="P13" s="7">
        <v>22.6</v>
      </c>
      <c r="Q13" s="7">
        <v>15.926482890000001</v>
      </c>
      <c r="R13" s="7">
        <v>35.506546749999998</v>
      </c>
      <c r="S13" s="7">
        <v>2.8136687299999998</v>
      </c>
      <c r="T13" s="7">
        <v>-0.83844826000000339</v>
      </c>
      <c r="U13" s="7">
        <v>25.163804219999999</v>
      </c>
      <c r="V13" s="7">
        <v>43.337346090000004</v>
      </c>
      <c r="W13" s="7">
        <v>14.417883880000002</v>
      </c>
      <c r="X13" s="7">
        <v>16.366405319999998</v>
      </c>
      <c r="Y13" s="7">
        <v>31.975062109999996</v>
      </c>
      <c r="Z13" s="40">
        <v>39.212896179999994</v>
      </c>
      <c r="AA13" s="40">
        <v>11.762932279999999</v>
      </c>
      <c r="AB13" s="7">
        <f>16.75352979-AB48</f>
        <v>10.462075560000002</v>
      </c>
      <c r="AC13" s="7">
        <f>52.6-AC48</f>
        <v>47.765560749999999</v>
      </c>
      <c r="AD13" s="7">
        <v>43.158053299999992</v>
      </c>
      <c r="AE13" s="7">
        <v>6.1860102600000033</v>
      </c>
      <c r="AF13" s="7">
        <f>7.57846146216136-AF48</f>
        <v>4.5668948321613598</v>
      </c>
      <c r="AG13" s="7">
        <f>37.90068371-AG48</f>
        <v>36.242600600000003</v>
      </c>
      <c r="AH13" s="7">
        <f>31.0031451-AH48</f>
        <v>27.08840919</v>
      </c>
      <c r="AI13" s="7">
        <f>38.46334234-AI48</f>
        <v>30.277005829999997</v>
      </c>
      <c r="AJ13" s="7">
        <f>24.28213842-AJ48</f>
        <v>15.143313109999999</v>
      </c>
      <c r="AK13" s="7">
        <f>27.35959185-AK48</f>
        <v>24.850406810000003</v>
      </c>
      <c r="AL13" s="7">
        <v>59.43367155</v>
      </c>
      <c r="AM13" s="7">
        <v>45.743328219999995</v>
      </c>
      <c r="AN13" s="7">
        <v>42.527461470000006</v>
      </c>
      <c r="AO13" s="7">
        <v>53.898064349999991</v>
      </c>
      <c r="AP13" s="40">
        <v>136.98362736999997</v>
      </c>
      <c r="AQ13" s="40">
        <v>87.56</v>
      </c>
      <c r="AR13" s="40">
        <v>71.843575979999997</v>
      </c>
      <c r="AS13" s="40">
        <v>106.50984036999999</v>
      </c>
      <c r="AT13" s="40">
        <v>103.23218716999999</v>
      </c>
      <c r="AU13" s="40">
        <v>24.150724980000007</v>
      </c>
      <c r="AV13" s="40">
        <v>3.2635667100000063</v>
      </c>
      <c r="AW13" s="60">
        <v>64.540000000000006</v>
      </c>
      <c r="AX13" s="60">
        <v>85.134310830000018</v>
      </c>
      <c r="AY13" s="60">
        <v>52.870069799999996</v>
      </c>
      <c r="AZ13" s="60">
        <v>18.83285957999999</v>
      </c>
      <c r="BA13" s="60">
        <v>34.849571450000006</v>
      </c>
      <c r="BB13" s="60">
        <v>7.0803313999999915</v>
      </c>
    </row>
    <row r="14" spans="1:54">
      <c r="A14" s="53">
        <v>8</v>
      </c>
      <c r="B14" s="5" t="s">
        <v>171</v>
      </c>
      <c r="C14" s="60" t="str">
        <f t="shared" si="1"/>
        <v>-</v>
      </c>
      <c r="D14" s="60" t="str">
        <f t="shared" si="2"/>
        <v>-</v>
      </c>
      <c r="E14" s="44" t="s">
        <v>148</v>
      </c>
      <c r="G14" s="53">
        <f t="shared" si="0"/>
        <v>8</v>
      </c>
      <c r="H14" s="5" t="s">
        <v>171</v>
      </c>
      <c r="I14" s="7">
        <v>41.156034410000004</v>
      </c>
      <c r="J14" s="7">
        <v>45.093694849999999</v>
      </c>
      <c r="K14" s="7">
        <v>39.179404990000002</v>
      </c>
      <c r="L14" s="7">
        <v>37.815244419999999</v>
      </c>
      <c r="M14" s="7">
        <v>36.024857099999998</v>
      </c>
      <c r="N14" s="7">
        <v>39.49619045</v>
      </c>
      <c r="O14" s="7">
        <v>37.876558799999998</v>
      </c>
      <c r="P14" s="7">
        <v>31.7</v>
      </c>
      <c r="Q14" s="7">
        <v>28.420257320000005</v>
      </c>
      <c r="R14" s="7">
        <v>43.988652819999999</v>
      </c>
      <c r="S14" s="7">
        <v>37.405080679999998</v>
      </c>
      <c r="T14" s="7">
        <v>32.429191130000014</v>
      </c>
      <c r="U14" s="7">
        <v>40.141034320000003</v>
      </c>
      <c r="V14" s="7">
        <v>35.80881715000001</v>
      </c>
      <c r="W14" s="7">
        <v>36.7775417</v>
      </c>
      <c r="X14" s="7">
        <v>35.566902029999994</v>
      </c>
      <c r="Y14" s="7">
        <v>16.340877990000003</v>
      </c>
      <c r="Z14" s="40">
        <v>13.981938399999999</v>
      </c>
      <c r="AA14" s="40">
        <v>11.010783440000001</v>
      </c>
      <c r="AB14" s="7">
        <v>15.06275686</v>
      </c>
      <c r="AC14" s="7">
        <f>10.45666325-AC49</f>
        <v>10.45666325</v>
      </c>
      <c r="AD14" s="7">
        <v>18.083903670000005</v>
      </c>
      <c r="AE14" s="7">
        <v>20.128161159999998</v>
      </c>
      <c r="AF14" s="7">
        <f>12.92461491-AF49</f>
        <v>12.924614910000001</v>
      </c>
      <c r="AG14" s="7">
        <f>15.14027786-AG49</f>
        <v>15.140277859999999</v>
      </c>
      <c r="AH14" s="7">
        <v>19.754234069999995</v>
      </c>
      <c r="AI14" s="7">
        <v>14.265083909999994</v>
      </c>
      <c r="AJ14" s="7">
        <v>6.129047700000001</v>
      </c>
      <c r="AK14" s="7">
        <f>26.02272966-AK49</f>
        <v>26.02272966</v>
      </c>
      <c r="AL14" s="7">
        <v>11.570131260543871</v>
      </c>
      <c r="AM14" s="7">
        <v>0</v>
      </c>
      <c r="AN14" s="40">
        <v>0</v>
      </c>
      <c r="AO14" s="40">
        <v>0</v>
      </c>
      <c r="AP14" s="40">
        <v>0</v>
      </c>
      <c r="AQ14" s="40">
        <v>0</v>
      </c>
      <c r="AR14" s="60" t="s">
        <v>148</v>
      </c>
      <c r="AS14" s="60">
        <v>0</v>
      </c>
      <c r="AT14" s="60">
        <v>0</v>
      </c>
      <c r="AU14" s="60">
        <v>0</v>
      </c>
      <c r="AV14" s="60" t="s">
        <v>148</v>
      </c>
      <c r="AW14" s="60" t="s">
        <v>148</v>
      </c>
      <c r="AX14" s="60" t="s">
        <v>148</v>
      </c>
      <c r="AY14" s="44" t="s">
        <v>148</v>
      </c>
      <c r="AZ14" s="44" t="s">
        <v>148</v>
      </c>
      <c r="BA14" s="44" t="s">
        <v>148</v>
      </c>
      <c r="BB14" s="44" t="s">
        <v>148</v>
      </c>
    </row>
    <row r="15" spans="1:54">
      <c r="A15" s="53">
        <v>9</v>
      </c>
      <c r="B15" s="5" t="s">
        <v>169</v>
      </c>
      <c r="C15" s="40">
        <f t="shared" si="1"/>
        <v>12.342806639315105</v>
      </c>
      <c r="D15" s="40">
        <f t="shared" si="2"/>
        <v>11.887325758394059</v>
      </c>
      <c r="E15" s="32">
        <f t="shared" si="3"/>
        <v>-3.6902537180661832E-2</v>
      </c>
      <c r="G15" s="53">
        <f t="shared" si="0"/>
        <v>9</v>
      </c>
      <c r="H15" s="5" t="s">
        <v>169</v>
      </c>
      <c r="I15" s="7">
        <v>53.834262430000003</v>
      </c>
      <c r="J15" s="7">
        <v>0.61488958999999999</v>
      </c>
      <c r="K15" s="7">
        <v>0.34886132999999997</v>
      </c>
      <c r="L15" s="7">
        <v>1.8722319299999999</v>
      </c>
      <c r="M15" s="7">
        <v>2.3441974500000002</v>
      </c>
      <c r="N15" s="7">
        <v>2.2638354000000001</v>
      </c>
      <c r="O15" s="7">
        <v>26.728860820000001</v>
      </c>
      <c r="P15" s="7">
        <v>1.4</v>
      </c>
      <c r="Q15" s="7">
        <v>0.71871744999999998</v>
      </c>
      <c r="R15" s="7">
        <v>0.23974292999999997</v>
      </c>
      <c r="S15" s="7">
        <v>0.35733819000000006</v>
      </c>
      <c r="T15" s="7">
        <v>2.1969933800000003</v>
      </c>
      <c r="U15" s="7">
        <v>5.1719450499999988</v>
      </c>
      <c r="V15" s="7">
        <v>5.1150003399999999</v>
      </c>
      <c r="W15" s="7">
        <v>5.4278540000000008</v>
      </c>
      <c r="X15" s="7">
        <v>3.8166934700000001</v>
      </c>
      <c r="Y15" s="7">
        <v>5.8516719899999989</v>
      </c>
      <c r="Z15" s="40">
        <v>5.0303974700000005</v>
      </c>
      <c r="AA15" s="40">
        <v>5.5485950699999984</v>
      </c>
      <c r="AB15" s="7">
        <f>7.3-AB50</f>
        <v>6.1594894999999994</v>
      </c>
      <c r="AC15" s="7">
        <f>8-AC50</f>
        <v>6.8099185100000001</v>
      </c>
      <c r="AD15" s="7">
        <v>8.3892136199999996</v>
      </c>
      <c r="AE15" s="7">
        <v>7.476970470000003</v>
      </c>
      <c r="AF15" s="7">
        <f>11.22495761-AF50</f>
        <v>3.9962841899999999</v>
      </c>
      <c r="AG15" s="7">
        <f>6.34286927-AG50</f>
        <v>5.0632197199999993</v>
      </c>
      <c r="AH15" s="7">
        <f>8.34545564-AH50</f>
        <v>6.8914756700000011</v>
      </c>
      <c r="AI15" s="7">
        <f>4.31825038-AI50</f>
        <v>2.9556421200000003</v>
      </c>
      <c r="AJ15" s="7">
        <f>6.63551003907104-AJ50</f>
        <v>5.1155398490710393</v>
      </c>
      <c r="AK15" s="7">
        <f>7.69899216945612-AK50</f>
        <v>6.2033284094561196</v>
      </c>
      <c r="AL15" s="7">
        <f>9.90659021544207-AL50</f>
        <v>8.6612371854420704</v>
      </c>
      <c r="AM15" s="7">
        <v>8.8000000000000007</v>
      </c>
      <c r="AN15" s="7">
        <v>4.9064399222843491</v>
      </c>
      <c r="AO15" s="7">
        <v>8.5679368973828378</v>
      </c>
      <c r="AP15" s="40">
        <v>8.4480991860623238</v>
      </c>
      <c r="AQ15" s="40">
        <v>9.98</v>
      </c>
      <c r="AR15" s="40">
        <v>5.2081105092714992</v>
      </c>
      <c r="AS15" s="40">
        <v>15.391241942664575</v>
      </c>
      <c r="AT15" s="40">
        <v>12.3802238512428</v>
      </c>
      <c r="AU15" s="40">
        <v>22.431882704694491</v>
      </c>
      <c r="AV15" s="40">
        <v>12.30670912240323</v>
      </c>
      <c r="AW15" s="40">
        <v>12.273908296007976</v>
      </c>
      <c r="AX15" s="40">
        <v>12.342806639315105</v>
      </c>
      <c r="AY15" s="40">
        <v>11.462569899317339</v>
      </c>
      <c r="AZ15" s="40">
        <v>9.478911187072276</v>
      </c>
      <c r="BA15" s="40">
        <v>10.6</v>
      </c>
      <c r="BB15" s="40">
        <v>11.887325758394059</v>
      </c>
    </row>
    <row r="16" spans="1:54">
      <c r="A16" s="53">
        <v>10</v>
      </c>
      <c r="E16" s="36"/>
      <c r="G16" s="53">
        <f t="shared" si="0"/>
        <v>10</v>
      </c>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M16" s="29"/>
      <c r="AN16" s="29"/>
      <c r="AO16" s="29"/>
    </row>
    <row r="17" spans="1:54">
      <c r="A17" s="53">
        <v>11</v>
      </c>
      <c r="B17" s="92" t="s">
        <v>201</v>
      </c>
      <c r="C17" s="95">
        <f t="shared" ref="C17:C23" si="7">HLOOKUP($C$7,$H$7:$BO$33,$G17,FALSE)</f>
        <v>-205.28038773348828</v>
      </c>
      <c r="D17" s="95">
        <f t="shared" ref="D17:D23" si="8">HLOOKUP($D$7,$H$7:$BO$33,$G17,FALSE)</f>
        <v>-183.34294480973699</v>
      </c>
      <c r="E17" s="94">
        <f>D17/C17-1</f>
        <v>-0.10686575159937961</v>
      </c>
      <c r="G17" s="53">
        <f t="shared" si="0"/>
        <v>11</v>
      </c>
      <c r="H17" s="92" t="s">
        <v>201</v>
      </c>
      <c r="I17" s="93">
        <f t="shared" ref="I17:AJ17" si="9">SUM(I18:I23)</f>
        <v>-275.35129532000002</v>
      </c>
      <c r="J17" s="93">
        <f t="shared" si="9"/>
        <v>-245.57660835000001</v>
      </c>
      <c r="K17" s="93">
        <f t="shared" si="9"/>
        <v>-213.76067669000003</v>
      </c>
      <c r="L17" s="93">
        <f t="shared" si="9"/>
        <v>-149.01963957999999</v>
      </c>
      <c r="M17" s="93">
        <f t="shared" si="9"/>
        <v>-205.1628939</v>
      </c>
      <c r="N17" s="93">
        <f t="shared" si="9"/>
        <v>-201.26569451</v>
      </c>
      <c r="O17" s="93">
        <f t="shared" si="9"/>
        <v>-136.02479528999999</v>
      </c>
      <c r="P17" s="93">
        <f t="shared" si="9"/>
        <v>-98.7</v>
      </c>
      <c r="Q17" s="93">
        <f t="shared" si="9"/>
        <v>-132.75843111</v>
      </c>
      <c r="R17" s="93">
        <f t="shared" si="9"/>
        <v>-150.15819938999999</v>
      </c>
      <c r="S17" s="93">
        <f t="shared" si="9"/>
        <v>-154.75086822</v>
      </c>
      <c r="T17" s="93">
        <f t="shared" si="9"/>
        <v>-142.57810221000003</v>
      </c>
      <c r="U17" s="93">
        <f t="shared" si="9"/>
        <v>-167.26441367999999</v>
      </c>
      <c r="V17" s="93">
        <f t="shared" si="9"/>
        <v>-175.75027431000001</v>
      </c>
      <c r="W17" s="93">
        <f t="shared" si="9"/>
        <v>-147.17653369000001</v>
      </c>
      <c r="X17" s="93">
        <f t="shared" si="9"/>
        <v>-124.09420446999999</v>
      </c>
      <c r="Y17" s="93">
        <f t="shared" si="9"/>
        <v>-173.83893678999999</v>
      </c>
      <c r="Z17" s="93">
        <f t="shared" si="9"/>
        <v>-181.13288132</v>
      </c>
      <c r="AA17" s="93">
        <f t="shared" si="9"/>
        <v>-146.27714492000001</v>
      </c>
      <c r="AB17" s="93">
        <f t="shared" si="9"/>
        <v>-116.73437586999998</v>
      </c>
      <c r="AC17" s="93">
        <f t="shared" si="9"/>
        <v>-170.47125767000003</v>
      </c>
      <c r="AD17" s="93">
        <f t="shared" si="9"/>
        <v>-170.79738747000002</v>
      </c>
      <c r="AE17" s="93">
        <f t="shared" si="9"/>
        <v>-152.53082833000002</v>
      </c>
      <c r="AF17" s="93">
        <f t="shared" si="9"/>
        <v>-117.26530571084766</v>
      </c>
      <c r="AG17" s="93">
        <f t="shared" si="9"/>
        <v>-128.9747912</v>
      </c>
      <c r="AH17" s="93">
        <f t="shared" si="9"/>
        <v>-125.15747811000001</v>
      </c>
      <c r="AI17" s="93">
        <f t="shared" si="9"/>
        <v>-117.61759233000001</v>
      </c>
      <c r="AJ17" s="93">
        <f t="shared" si="9"/>
        <v>-103.64530324</v>
      </c>
      <c r="AK17" s="93">
        <f t="shared" ref="AK17:AR17" si="10">+SUM(AK18:AK23)</f>
        <v>-145.81400551999999</v>
      </c>
      <c r="AL17" s="93">
        <f t="shared" si="10"/>
        <v>-174.63671665124437</v>
      </c>
      <c r="AM17" s="93">
        <f t="shared" si="10"/>
        <v>-235.42365913</v>
      </c>
      <c r="AN17" s="93">
        <f t="shared" si="10"/>
        <v>-152.81074061000007</v>
      </c>
      <c r="AO17" s="93">
        <f t="shared" si="10"/>
        <v>-211.96305361999998</v>
      </c>
      <c r="AP17" s="93">
        <f t="shared" si="10"/>
        <v>-298.74683102163107</v>
      </c>
      <c r="AQ17" s="93">
        <f t="shared" si="10"/>
        <v>-218.07999999999998</v>
      </c>
      <c r="AR17" s="93">
        <f t="shared" si="10"/>
        <v>-210.35453464999992</v>
      </c>
      <c r="AS17" s="93">
        <f>+SUM(AS18:AS23)</f>
        <v>-293.65883464210339</v>
      </c>
      <c r="AT17" s="93">
        <f t="shared" ref="AT17:BB17" si="11">SUM(AT18:AT23)</f>
        <v>-310.7</v>
      </c>
      <c r="AU17" s="93">
        <f t="shared" si="11"/>
        <v>-155.8250032176779</v>
      </c>
      <c r="AV17" s="93">
        <f t="shared" si="11"/>
        <v>-174.63225831325133</v>
      </c>
      <c r="AW17" s="93">
        <f t="shared" si="11"/>
        <v>-167.89720056754703</v>
      </c>
      <c r="AX17" s="93">
        <f t="shared" si="11"/>
        <v>-205.28038773348828</v>
      </c>
      <c r="AY17" s="93">
        <f t="shared" si="11"/>
        <v>-140.56555022363369</v>
      </c>
      <c r="AZ17" s="93">
        <f t="shared" si="11"/>
        <v>-140.80200771281994</v>
      </c>
      <c r="BA17" s="93">
        <f t="shared" si="11"/>
        <v>-161.92880499158491</v>
      </c>
      <c r="BB17" s="93">
        <f t="shared" si="11"/>
        <v>-183.34294480973699</v>
      </c>
    </row>
    <row r="18" spans="1:54">
      <c r="A18" s="53">
        <v>12</v>
      </c>
      <c r="B18" s="5" t="s">
        <v>171</v>
      </c>
      <c r="C18" s="60">
        <f t="shared" si="7"/>
        <v>-34.338893129999995</v>
      </c>
      <c r="D18" s="60">
        <f t="shared" si="8"/>
        <v>-47.355959269999985</v>
      </c>
      <c r="E18" s="32">
        <f t="shared" si="3"/>
        <v>0.37907646267805006</v>
      </c>
      <c r="G18" s="53">
        <f t="shared" si="0"/>
        <v>12</v>
      </c>
      <c r="H18" s="5" t="s">
        <v>171</v>
      </c>
      <c r="I18" s="40">
        <v>-48.867815859999993</v>
      </c>
      <c r="J18" s="40">
        <v>-36.536173910000002</v>
      </c>
      <c r="K18" s="40">
        <v>-36.232333570000002</v>
      </c>
      <c r="L18" s="40">
        <v>-40.281641289999996</v>
      </c>
      <c r="M18" s="40">
        <v>-39.09474281</v>
      </c>
      <c r="N18" s="40">
        <v>-34.689093559999996</v>
      </c>
      <c r="O18" s="40">
        <v>-34.50693442</v>
      </c>
      <c r="P18" s="40">
        <v>-33.299999999999997</v>
      </c>
      <c r="Q18" s="40">
        <v>-34.796432860000003</v>
      </c>
      <c r="R18" s="40">
        <v>-36.290084159999992</v>
      </c>
      <c r="S18" s="40">
        <v>-35.83344452</v>
      </c>
      <c r="T18" s="40">
        <v>-34.904950130000003</v>
      </c>
      <c r="U18" s="40">
        <v>-40.870053159999991</v>
      </c>
      <c r="V18" s="40">
        <v>-36.607482070000003</v>
      </c>
      <c r="W18" s="40">
        <v>-38.842737790000008</v>
      </c>
      <c r="X18" s="40">
        <v>-40.685668849999999</v>
      </c>
      <c r="Y18" s="40">
        <v>-39.213009910000004</v>
      </c>
      <c r="Z18" s="40">
        <v>-31.770287920000001</v>
      </c>
      <c r="AA18" s="40">
        <v>-26.527575679999998</v>
      </c>
      <c r="AB18" s="40">
        <f>+-32.17954707-AB53</f>
        <v>-32.179547069999998</v>
      </c>
      <c r="AC18" s="40">
        <f>+-32.9777754-AC53</f>
        <v>-32.4816121</v>
      </c>
      <c r="AD18" s="40">
        <f>+-34.29679217-AD53</f>
        <v>-33.566455930000004</v>
      </c>
      <c r="AE18" s="40">
        <v>-49.28598399000002</v>
      </c>
      <c r="AF18" s="40">
        <f>+-20.88005158-AF53</f>
        <v>-19.960651899999998</v>
      </c>
      <c r="AG18" s="40">
        <f>+-21.55022939-AG53</f>
        <v>-20.850229389999999</v>
      </c>
      <c r="AH18" s="40">
        <f>+-26.60999613-AH53</f>
        <v>-24.390609949999998</v>
      </c>
      <c r="AI18" s="40">
        <f>+-26.50304141-AI53</f>
        <v>-25.258113340000001</v>
      </c>
      <c r="AJ18" s="40">
        <f>+-38.09702692-AJ53</f>
        <v>-36.941916479999996</v>
      </c>
      <c r="AK18" s="40">
        <f>+-31.25610667-AK53</f>
        <v>-30.835691730000001</v>
      </c>
      <c r="AL18" s="40">
        <v>-36.579687749999998</v>
      </c>
      <c r="AM18" s="40">
        <v>-31.3</v>
      </c>
      <c r="AN18" s="40">
        <v>-28.740887379999975</v>
      </c>
      <c r="AO18" s="40">
        <v>-34.999264529999991</v>
      </c>
      <c r="AP18" s="40">
        <v>-35.361309640000002</v>
      </c>
      <c r="AQ18" s="40">
        <v>-30.31</v>
      </c>
      <c r="AR18" s="40">
        <v>-33.132624860000035</v>
      </c>
      <c r="AS18" s="40">
        <v>-37.42370777</v>
      </c>
      <c r="AT18" s="40">
        <v>-41.1</v>
      </c>
      <c r="AU18" s="40">
        <v>-28.996101320000015</v>
      </c>
      <c r="AV18" s="40">
        <v>-28.341474049999988</v>
      </c>
      <c r="AW18" s="40">
        <v>-32.837051469999999</v>
      </c>
      <c r="AX18" s="40">
        <v>-34.338893129999995</v>
      </c>
      <c r="AY18" s="40">
        <v>-47.108128770000015</v>
      </c>
      <c r="AZ18" s="40">
        <v>-39.133194819999964</v>
      </c>
      <c r="BA18" s="40">
        <v>-47.459078410000004</v>
      </c>
      <c r="BB18" s="40">
        <v>-47.355959269999985</v>
      </c>
    </row>
    <row r="19" spans="1:54">
      <c r="A19" s="53">
        <v>13</v>
      </c>
      <c r="B19" s="5" t="s">
        <v>172</v>
      </c>
      <c r="C19" s="60">
        <f t="shared" si="7"/>
        <v>-20.042395860000003</v>
      </c>
      <c r="D19" s="60">
        <f t="shared" si="8"/>
        <v>-27.175348599999992</v>
      </c>
      <c r="E19" s="32">
        <f t="shared" si="3"/>
        <v>0.35589321704974997</v>
      </c>
      <c r="G19" s="53">
        <f t="shared" si="0"/>
        <v>13</v>
      </c>
      <c r="H19" s="5" t="s">
        <v>172</v>
      </c>
      <c r="I19" s="40">
        <v>-18.03067094</v>
      </c>
      <c r="J19" s="40">
        <v>-3.3591411400000002</v>
      </c>
      <c r="K19" s="40">
        <v>-20.369487509999999</v>
      </c>
      <c r="L19" s="40">
        <v>-29.147778030000001</v>
      </c>
      <c r="M19" s="40">
        <v>-4.5187954299999999</v>
      </c>
      <c r="N19" s="40">
        <v>-9.2159443799999998</v>
      </c>
      <c r="O19" s="40">
        <v>-10.38048916</v>
      </c>
      <c r="P19" s="40">
        <v>-16.5</v>
      </c>
      <c r="Q19" s="40">
        <v>-5.5495712899999994</v>
      </c>
      <c r="R19" s="40">
        <v>-6.9293658100000002</v>
      </c>
      <c r="S19" s="40">
        <v>-38.774170070000004</v>
      </c>
      <c r="T19" s="40">
        <v>-34.718472030000001</v>
      </c>
      <c r="U19" s="40">
        <v>-7.4512985600000015</v>
      </c>
      <c r="V19" s="40">
        <v>-8.1270384000000018</v>
      </c>
      <c r="W19" s="40">
        <v>-12.170216480000001</v>
      </c>
      <c r="X19" s="40">
        <v>-15.217228350000001</v>
      </c>
      <c r="Y19" s="40">
        <v>-7.642425229999998</v>
      </c>
      <c r="Z19" s="40">
        <v>-8.2504383900000011</v>
      </c>
      <c r="AA19" s="40">
        <v>-12.82375993</v>
      </c>
      <c r="AB19" s="40">
        <f>+-10.25707385-AB54</f>
        <v>-10.25332315</v>
      </c>
      <c r="AC19" s="40">
        <f>+-2.75986665-AC54</f>
        <v>-2.4879566200000003</v>
      </c>
      <c r="AD19" s="40">
        <f>+-13.18502617-AD54</f>
        <v>-12.817846660000001</v>
      </c>
      <c r="AE19" s="40">
        <v>-30.11858333</v>
      </c>
      <c r="AF19" s="40">
        <f>+-18.77742197-AF54</f>
        <v>-18.427504539999997</v>
      </c>
      <c r="AG19" s="40">
        <f>+-15.50763813-AG54</f>
        <v>-14.207638129999999</v>
      </c>
      <c r="AH19" s="40">
        <f>+-7.04974417-AH54</f>
        <v>-6.5616336200000003</v>
      </c>
      <c r="AI19" s="40">
        <f>+-8.86610442-AI54</f>
        <v>-8.8063862099999994</v>
      </c>
      <c r="AJ19" s="40">
        <f>+-22.67480489-AJ54</f>
        <v>-22.67467628</v>
      </c>
      <c r="AK19" s="40">
        <f>+-15.90505726-AK54</f>
        <v>-15.520190899999999</v>
      </c>
      <c r="AL19" s="40">
        <v>-12.663205760000004</v>
      </c>
      <c r="AM19" s="40">
        <v>-18.399999999999999</v>
      </c>
      <c r="AN19" s="40">
        <v>-22.747301230000005</v>
      </c>
      <c r="AO19" s="40">
        <v>-28.384416129999998</v>
      </c>
      <c r="AP19" s="40">
        <v>-38.247207030000006</v>
      </c>
      <c r="AQ19" s="40">
        <v>-36.07</v>
      </c>
      <c r="AR19" s="40">
        <v>-23.949563029999979</v>
      </c>
      <c r="AS19" s="40">
        <v>-31.198525449999998</v>
      </c>
      <c r="AT19" s="40">
        <v>-35</v>
      </c>
      <c r="AU19" s="40">
        <v>-33.427848479999987</v>
      </c>
      <c r="AV19" s="40">
        <v>-46.032795730000011</v>
      </c>
      <c r="AW19" s="40">
        <v>-9.4458161899999986</v>
      </c>
      <c r="AX19" s="40">
        <v>-20.042395860000003</v>
      </c>
      <c r="AY19" s="40">
        <v>-21.458259230000007</v>
      </c>
      <c r="AZ19" s="40">
        <v>-44.759759929999987</v>
      </c>
      <c r="BA19" s="40">
        <v>-19.966245200000003</v>
      </c>
      <c r="BB19" s="40">
        <v>-27.175348599999992</v>
      </c>
    </row>
    <row r="20" spans="1:54">
      <c r="A20" s="53">
        <v>14</v>
      </c>
      <c r="B20" s="5" t="s">
        <v>173</v>
      </c>
      <c r="C20" s="60">
        <f t="shared" si="7"/>
        <v>-100.51503481</v>
      </c>
      <c r="D20" s="60">
        <f t="shared" si="8"/>
        <v>-75.801301519999996</v>
      </c>
      <c r="E20" s="32">
        <f t="shared" si="3"/>
        <v>-0.24587101160254776</v>
      </c>
      <c r="G20" s="53">
        <f t="shared" si="0"/>
        <v>14</v>
      </c>
      <c r="H20" s="5" t="s">
        <v>173</v>
      </c>
      <c r="I20" s="40">
        <v>-143.05921096000003</v>
      </c>
      <c r="J20" s="40">
        <v>-115.28823815000001</v>
      </c>
      <c r="K20" s="40">
        <v>-64.623558400000007</v>
      </c>
      <c r="L20" s="40">
        <v>-18.6760698</v>
      </c>
      <c r="M20" s="40">
        <v>-95.077913459999991</v>
      </c>
      <c r="N20" s="40">
        <v>-96.246866560000015</v>
      </c>
      <c r="O20" s="40">
        <v>-48.765143299999998</v>
      </c>
      <c r="P20" s="40">
        <v>-11.3</v>
      </c>
      <c r="Q20" s="40">
        <v>-55.49246531</v>
      </c>
      <c r="R20" s="40">
        <v>-48.625604530000011</v>
      </c>
      <c r="S20" s="40">
        <v>-29.351692119999996</v>
      </c>
      <c r="T20" s="40">
        <v>-46.499171390000001</v>
      </c>
      <c r="U20" s="40">
        <v>-74.428830290000008</v>
      </c>
      <c r="V20" s="40">
        <v>-74.671550390000007</v>
      </c>
      <c r="W20" s="40">
        <v>-44.972191940000002</v>
      </c>
      <c r="X20" s="40">
        <v>-22.572275439999995</v>
      </c>
      <c r="Y20" s="40">
        <v>-81.834264469999994</v>
      </c>
      <c r="Z20" s="40">
        <v>-91.752166529999982</v>
      </c>
      <c r="AA20" s="40">
        <v>-63.272530880000005</v>
      </c>
      <c r="AB20" s="40">
        <f>+-51.49424782-AB55</f>
        <v>-26.208514819999998</v>
      </c>
      <c r="AC20" s="40">
        <f>+-103.54780074-AC55</f>
        <v>-83.935614360000002</v>
      </c>
      <c r="AD20" s="40">
        <f>+-95.37933399-AD55</f>
        <v>-79.202876680000003</v>
      </c>
      <c r="AE20" s="40">
        <v>-48.18053414000002</v>
      </c>
      <c r="AF20" s="40">
        <f>+-64.13887255-AF55</f>
        <v>-43.382659270000005</v>
      </c>
      <c r="AG20" s="40">
        <f>+-68.50728894-AG55</f>
        <v>-57.407288939999994</v>
      </c>
      <c r="AH20" s="40">
        <f>+-69.67391141-AH55</f>
        <v>-55.093791430000003</v>
      </c>
      <c r="AI20" s="40">
        <f>+-75.50659227-AI55</f>
        <v>-54.870246770000001</v>
      </c>
      <c r="AJ20" s="40">
        <f>+-31.72562505-AJ55</f>
        <v>-12.156151910000002</v>
      </c>
      <c r="AK20" s="40">
        <f>+-66.27092621-AK55</f>
        <v>-51.142680729999995</v>
      </c>
      <c r="AL20" s="40">
        <v>-76.862570170000012</v>
      </c>
      <c r="AM20" s="40">
        <v>-128.16187044</v>
      </c>
      <c r="AN20" s="40">
        <v>-64.591707400000018</v>
      </c>
      <c r="AO20" s="40">
        <v>-97.481601500000011</v>
      </c>
      <c r="AP20" s="40">
        <v>-128.01139555999998</v>
      </c>
      <c r="AQ20" s="40">
        <v>-89.83</v>
      </c>
      <c r="AR20" s="40">
        <v>-109.43343026999992</v>
      </c>
      <c r="AS20" s="40">
        <v>-154.33568976000001</v>
      </c>
      <c r="AT20" s="40">
        <v>-147.5</v>
      </c>
      <c r="AU20" s="40">
        <v>-50.611767769999972</v>
      </c>
      <c r="AV20" s="40">
        <v>-55.245906590000061</v>
      </c>
      <c r="AW20" s="40">
        <v>-71.003414499999991</v>
      </c>
      <c r="AX20" s="40">
        <v>-100.51503481</v>
      </c>
      <c r="AY20" s="40">
        <v>-31.841695430000016</v>
      </c>
      <c r="AZ20" s="40">
        <v>-23.392242329999988</v>
      </c>
      <c r="BA20" s="40">
        <v>-59.667367209999995</v>
      </c>
      <c r="BB20" s="40">
        <v>-75.801301519999996</v>
      </c>
    </row>
    <row r="21" spans="1:54">
      <c r="A21" s="53">
        <v>15</v>
      </c>
      <c r="B21" s="5" t="s">
        <v>174</v>
      </c>
      <c r="C21" s="60">
        <f t="shared" si="7"/>
        <v>-2.7735916800000004</v>
      </c>
      <c r="D21" s="60">
        <f t="shared" si="8"/>
        <v>-9.0322064500000003</v>
      </c>
      <c r="E21" s="32">
        <f t="shared" si="3"/>
        <v>2.2565018546637692</v>
      </c>
      <c r="G21" s="53">
        <f t="shared" si="0"/>
        <v>15</v>
      </c>
      <c r="H21" s="5" t="s">
        <v>174</v>
      </c>
      <c r="I21" s="40">
        <v>-22.91047446</v>
      </c>
      <c r="J21" s="40">
        <v>-43.010705830000006</v>
      </c>
      <c r="K21" s="40">
        <v>-40.598616540000009</v>
      </c>
      <c r="L21" s="40">
        <v>-3.2749097999999996</v>
      </c>
      <c r="M21" s="40">
        <v>-22.496929869999999</v>
      </c>
      <c r="N21" s="40">
        <v>-18.099470910000001</v>
      </c>
      <c r="O21" s="40">
        <v>-1.5190404399999999</v>
      </c>
      <c r="P21" s="40">
        <v>-2</v>
      </c>
      <c r="Q21" s="40">
        <v>-2.0902260800000003</v>
      </c>
      <c r="R21" s="40">
        <v>-23.231005809999996</v>
      </c>
      <c r="S21" s="40">
        <v>-13.097372880000002</v>
      </c>
      <c r="T21" s="40">
        <v>-2.91121008</v>
      </c>
      <c r="U21" s="40">
        <v>-6.969882909999999</v>
      </c>
      <c r="V21" s="40">
        <v>-16.593912970000002</v>
      </c>
      <c r="W21" s="40">
        <v>-4.990396689999999</v>
      </c>
      <c r="X21" s="40">
        <v>-2.59113864</v>
      </c>
      <c r="Y21" s="40">
        <v>-3.0085850299999999</v>
      </c>
      <c r="Z21" s="40">
        <v>-4.8410693299999998</v>
      </c>
      <c r="AA21" s="40">
        <v>-3.6377084799999992</v>
      </c>
      <c r="AB21" s="40">
        <f>+-3.58230685-AB56</f>
        <v>-3.5823068500000002</v>
      </c>
      <c r="AC21" s="40">
        <f>+-9.14473538-AC56</f>
        <v>-9.1447353800000002</v>
      </c>
      <c r="AD21" s="40">
        <v>-2.1464366200000002</v>
      </c>
      <c r="AE21" s="40">
        <v>-0.41594635999999952</v>
      </c>
      <c r="AF21" s="40">
        <f>+-0.974576780847656-AF56</f>
        <v>-0.97457678084765598</v>
      </c>
      <c r="AG21" s="40">
        <v>-4.2986809299999997</v>
      </c>
      <c r="AH21" s="40">
        <f>+-2.94319108-AH56</f>
        <v>-2.9431910800000001</v>
      </c>
      <c r="AI21" s="40">
        <v>-0.41815340000000006</v>
      </c>
      <c r="AJ21" s="40">
        <v>-1.86275127</v>
      </c>
      <c r="AK21" s="40">
        <f>+-16.70689078-AK56</f>
        <v>-16.706890779999998</v>
      </c>
      <c r="AL21" s="40">
        <v>-7.3473143399999978</v>
      </c>
      <c r="AM21" s="40">
        <v>-18.83520717</v>
      </c>
      <c r="AN21" s="40">
        <v>-6.1802511399999993</v>
      </c>
      <c r="AO21" s="40">
        <v>-7.0593287499999997</v>
      </c>
      <c r="AP21" s="40">
        <v>-50.758022610000005</v>
      </c>
      <c r="AQ21" s="40">
        <v>-7.21</v>
      </c>
      <c r="AR21" s="40">
        <v>-5.3518450999999914</v>
      </c>
      <c r="AS21" s="40">
        <v>-7.3668896100000003</v>
      </c>
      <c r="AT21" s="40">
        <v>-8.6999999999999993</v>
      </c>
      <c r="AU21" s="40">
        <v>-0.90205733000000166</v>
      </c>
      <c r="AV21" s="40">
        <v>-1.1735378799999978</v>
      </c>
      <c r="AW21" s="40">
        <v>-0.94630468999999995</v>
      </c>
      <c r="AX21" s="40">
        <v>-2.7735916800000004</v>
      </c>
      <c r="AY21" s="40">
        <v>-1.1605387700000001</v>
      </c>
      <c r="AZ21" s="40">
        <v>-1.1793407099999991</v>
      </c>
      <c r="BA21" s="40">
        <v>-1.8139338399999998</v>
      </c>
      <c r="BB21" s="40">
        <v>-9.0322064500000003</v>
      </c>
    </row>
    <row r="22" spans="1:54">
      <c r="A22" s="53">
        <v>16</v>
      </c>
      <c r="B22" s="5" t="s">
        <v>175</v>
      </c>
      <c r="C22" s="60">
        <f t="shared" si="7"/>
        <v>-27.649152689999994</v>
      </c>
      <c r="D22" s="60">
        <f t="shared" si="8"/>
        <v>-0.49072630999999767</v>
      </c>
      <c r="E22" s="32">
        <f t="shared" si="3"/>
        <v>-0.98225166913785822</v>
      </c>
      <c r="G22" s="53">
        <f t="shared" si="0"/>
        <v>16</v>
      </c>
      <c r="H22" s="5" t="s">
        <v>175</v>
      </c>
      <c r="I22" s="40">
        <v>-23.41590613</v>
      </c>
      <c r="J22" s="40">
        <v>-25.471509249999997</v>
      </c>
      <c r="K22" s="40">
        <v>-24.229548649999998</v>
      </c>
      <c r="L22" s="40">
        <v>-19.288644770000001</v>
      </c>
      <c r="M22" s="40">
        <v>-26.610703540000006</v>
      </c>
      <c r="N22" s="40">
        <v>-22.176684440000002</v>
      </c>
      <c r="O22" s="40">
        <v>-20.448241290000002</v>
      </c>
      <c r="P22" s="40">
        <v>-8.4</v>
      </c>
      <c r="Q22" s="40">
        <v>-18.665973629999996</v>
      </c>
      <c r="R22" s="40">
        <v>-16.86084202</v>
      </c>
      <c r="S22" s="40">
        <v>-18.844166730000001</v>
      </c>
      <c r="T22" s="40">
        <v>-9.0097784399999981</v>
      </c>
      <c r="U22" s="40">
        <v>-18.267814120000004</v>
      </c>
      <c r="V22" s="40">
        <v>-19.587985530000005</v>
      </c>
      <c r="W22" s="40">
        <v>-21.775002570000002</v>
      </c>
      <c r="X22" s="40">
        <v>-14.182322660000001</v>
      </c>
      <c r="Y22" s="40">
        <v>-22.118387720000001</v>
      </c>
      <c r="Z22" s="40">
        <v>-22.376940360000003</v>
      </c>
      <c r="AA22" s="40">
        <v>-23.068639080000001</v>
      </c>
      <c r="AB22" s="40">
        <v>-19.234630080000002</v>
      </c>
      <c r="AC22" s="40">
        <v>-25.951997500000001</v>
      </c>
      <c r="AD22" s="40">
        <v>-25.329593030000002</v>
      </c>
      <c r="AE22" s="40">
        <v>-7.9583244999999962</v>
      </c>
      <c r="AF22" s="40">
        <v>-14.40621734</v>
      </c>
      <c r="AG22" s="40">
        <v>-20.795866490000002</v>
      </c>
      <c r="AH22" s="40">
        <v>-21.183902500000002</v>
      </c>
      <c r="AI22" s="40">
        <v>-17.545652830000002</v>
      </c>
      <c r="AJ22" s="40">
        <f>+-10.82531167-AJ56</f>
        <v>-9.905931429999999</v>
      </c>
      <c r="AK22" s="40">
        <v>-21.106550949999999</v>
      </c>
      <c r="AL22" s="40">
        <v>-25.186136600000005</v>
      </c>
      <c r="AM22" s="40">
        <v>-26.626581519999998</v>
      </c>
      <c r="AN22" s="40">
        <v>-16.740971340000002</v>
      </c>
      <c r="AO22" s="40">
        <v>-31.017013939999998</v>
      </c>
      <c r="AP22" s="40">
        <v>-31.993431799999996</v>
      </c>
      <c r="AQ22" s="40">
        <v>-41.57</v>
      </c>
      <c r="AR22" s="40">
        <v>-21.827071390000015</v>
      </c>
      <c r="AS22" s="40">
        <v>-45.669600989999999</v>
      </c>
      <c r="AT22" s="40">
        <v>-55.7</v>
      </c>
      <c r="AU22" s="40">
        <v>-22.305689220000012</v>
      </c>
      <c r="AV22" s="40">
        <v>-19.688287360000004</v>
      </c>
      <c r="AW22" s="40">
        <v>-33.493438950000005</v>
      </c>
      <c r="AX22" s="40">
        <v>-27.649152689999994</v>
      </c>
      <c r="AY22" s="40">
        <v>-18.556322349999995</v>
      </c>
      <c r="AZ22" s="40">
        <v>-4.0719472400000143</v>
      </c>
      <c r="BA22" s="40">
        <v>-11.190888200000002</v>
      </c>
      <c r="BB22" s="40">
        <v>-0.49072630999999767</v>
      </c>
    </row>
    <row r="23" spans="1:54">
      <c r="A23" s="53">
        <v>17</v>
      </c>
      <c r="B23" s="5" t="s">
        <v>202</v>
      </c>
      <c r="C23" s="60">
        <f t="shared" si="7"/>
        <v>-19.961319563488289</v>
      </c>
      <c r="D23" s="60">
        <f t="shared" si="8"/>
        <v>-23.487402659737072</v>
      </c>
      <c r="E23" s="32">
        <f t="shared" si="3"/>
        <v>0.17664579162884708</v>
      </c>
      <c r="G23" s="53">
        <f t="shared" si="0"/>
        <v>17</v>
      </c>
      <c r="H23" s="5" t="s">
        <v>202</v>
      </c>
      <c r="I23" s="40">
        <v>-19.06721697</v>
      </c>
      <c r="J23" s="40">
        <v>-21.910840070000003</v>
      </c>
      <c r="K23" s="40">
        <v>-27.707132019999996</v>
      </c>
      <c r="L23" s="40">
        <v>-38.350595890000008</v>
      </c>
      <c r="M23" s="40">
        <v>-17.36380879</v>
      </c>
      <c r="N23" s="40">
        <v>-20.837634659999999</v>
      </c>
      <c r="O23" s="40">
        <v>-20.404946679999998</v>
      </c>
      <c r="P23" s="40">
        <v>-27.2</v>
      </c>
      <c r="Q23" s="40">
        <v>-16.163761940000001</v>
      </c>
      <c r="R23" s="40">
        <v>-18.221297059999998</v>
      </c>
      <c r="S23" s="40">
        <v>-18.850021900000002</v>
      </c>
      <c r="T23" s="40">
        <v>-14.534520140000001</v>
      </c>
      <c r="U23" s="40">
        <v>-19.276534640000001</v>
      </c>
      <c r="V23" s="40">
        <v>-20.162304949999999</v>
      </c>
      <c r="W23" s="40">
        <v>-24.425988220000001</v>
      </c>
      <c r="X23" s="40">
        <v>-28.84557053</v>
      </c>
      <c r="Y23" s="40">
        <v>-20.02226443</v>
      </c>
      <c r="Z23" s="40">
        <v>-22.141978789999996</v>
      </c>
      <c r="AA23" s="40">
        <v>-16.946930869999999</v>
      </c>
      <c r="AB23" s="40">
        <f>+-28.76885844-AB57</f>
        <v>-25.276053900000001</v>
      </c>
      <c r="AC23" s="40">
        <f>+-19.58196495-AC57</f>
        <v>-16.469341709999998</v>
      </c>
      <c r="AD23" s="40">
        <f>+-21.03649055-AD57</f>
        <v>-17.734178549999999</v>
      </c>
      <c r="AE23" s="40">
        <v>-16.571456010000002</v>
      </c>
      <c r="AF23" s="40">
        <f>+-23.46560624-AF57</f>
        <v>-20.113695880000002</v>
      </c>
      <c r="AG23" s="40">
        <f>+-13.36357333-AG57</f>
        <v>-11.41508732</v>
      </c>
      <c r="AH23" s="40">
        <f>+-17.51902408-AH57</f>
        <v>-14.984349530000001</v>
      </c>
      <c r="AI23" s="40">
        <f>+-12.96304668-AI57</f>
        <v>-10.719039779999999</v>
      </c>
      <c r="AJ23" s="40">
        <f>+-24.00240708-AJ57</f>
        <v>-20.103875870000003</v>
      </c>
      <c r="AK23" s="40">
        <f>+-12.00200043-AK57</f>
        <v>-10.502000430000001</v>
      </c>
      <c r="AL23" s="40">
        <v>-15.997802031244371</v>
      </c>
      <c r="AM23" s="40">
        <v>-12.1</v>
      </c>
      <c r="AN23" s="40">
        <v>-13.80962212000005</v>
      </c>
      <c r="AO23" s="40">
        <v>-13.021428770000005</v>
      </c>
      <c r="AP23" s="40">
        <v>-14.375464381631071</v>
      </c>
      <c r="AQ23" s="40">
        <v>-13.09</v>
      </c>
      <c r="AR23" s="40">
        <v>-16.66</v>
      </c>
      <c r="AS23" s="40">
        <v>-17.664421062103383</v>
      </c>
      <c r="AT23" s="40">
        <v>-22.7</v>
      </c>
      <c r="AU23" s="40">
        <v>-19.581539097677908</v>
      </c>
      <c r="AV23" s="40">
        <v>-24.150256703251269</v>
      </c>
      <c r="AW23" s="40">
        <v>-20.171174767547036</v>
      </c>
      <c r="AX23" s="40">
        <v>-19.961319563488289</v>
      </c>
      <c r="AY23" s="40">
        <v>-20.440605673633648</v>
      </c>
      <c r="AZ23" s="40">
        <v>-28.265522682819999</v>
      </c>
      <c r="BA23" s="40">
        <v>-21.83129213158491</v>
      </c>
      <c r="BB23" s="40">
        <v>-23.487402659737072</v>
      </c>
    </row>
    <row r="24" spans="1:54">
      <c r="A24" s="53">
        <v>18</v>
      </c>
      <c r="C24" s="87"/>
      <c r="D24" s="87"/>
      <c r="E24" s="36"/>
      <c r="G24" s="53">
        <f t="shared" si="0"/>
        <v>18</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row>
    <row r="25" spans="1:54">
      <c r="A25" s="53">
        <v>19</v>
      </c>
      <c r="B25" s="92" t="s">
        <v>203</v>
      </c>
      <c r="C25" s="95">
        <f>HLOOKUP($C$7,$H$7:$BO$33,$G25,FALSE)</f>
        <v>167.17626169582684</v>
      </c>
      <c r="D25" s="95">
        <f>HLOOKUP($D$7,$H$7:$BO$33,$G25,FALSE)</f>
        <v>161.91167629865708</v>
      </c>
      <c r="E25" s="94">
        <f t="shared" si="3"/>
        <v>-3.1491225750391205E-2</v>
      </c>
      <c r="F25" s="49"/>
      <c r="G25" s="53">
        <f t="shared" si="0"/>
        <v>19</v>
      </c>
      <c r="H25" s="92" t="s">
        <v>203</v>
      </c>
      <c r="I25" s="93">
        <f t="shared" ref="I25:AE25" si="12">I17+I10</f>
        <v>137.89374637000003</v>
      </c>
      <c r="J25" s="93">
        <f t="shared" si="12"/>
        <v>162.44525369000002</v>
      </c>
      <c r="K25" s="93">
        <f t="shared" si="12"/>
        <v>137.48338611999998</v>
      </c>
      <c r="L25" s="93">
        <f t="shared" si="12"/>
        <v>181.04590640999999</v>
      </c>
      <c r="M25" s="93">
        <f t="shared" si="12"/>
        <v>111.84702719000003</v>
      </c>
      <c r="N25" s="93">
        <f t="shared" si="12"/>
        <v>157.19356322000004</v>
      </c>
      <c r="O25" s="93">
        <f t="shared" si="12"/>
        <v>200.96953452999998</v>
      </c>
      <c r="P25" s="93">
        <f t="shared" si="12"/>
        <v>196.5</v>
      </c>
      <c r="Q25" s="93">
        <f t="shared" si="12"/>
        <v>174.20261859999999</v>
      </c>
      <c r="R25" s="93">
        <f t="shared" si="12"/>
        <v>165.02881524999998</v>
      </c>
      <c r="S25" s="93">
        <f t="shared" si="12"/>
        <v>130.51520865999996</v>
      </c>
      <c r="T25" s="93">
        <f t="shared" si="12"/>
        <v>169.52104676999997</v>
      </c>
      <c r="U25" s="93">
        <f t="shared" si="12"/>
        <v>167.14281708999997</v>
      </c>
      <c r="V25" s="93">
        <f t="shared" si="12"/>
        <v>170.80365676000002</v>
      </c>
      <c r="W25" s="93">
        <f t="shared" si="12"/>
        <v>185.34389436999996</v>
      </c>
      <c r="X25" s="93">
        <f t="shared" si="12"/>
        <v>217.99880021000004</v>
      </c>
      <c r="Y25" s="93">
        <f t="shared" si="12"/>
        <v>180.10621122000003</v>
      </c>
      <c r="Z25" s="93">
        <f t="shared" si="12"/>
        <v>167.37775774000008</v>
      </c>
      <c r="AA25" s="93">
        <f t="shared" si="12"/>
        <v>173.78870720000003</v>
      </c>
      <c r="AB25" s="93">
        <f t="shared" si="12"/>
        <v>230.59628267000002</v>
      </c>
      <c r="AC25" s="93">
        <f t="shared" si="12"/>
        <v>170.62513011000001</v>
      </c>
      <c r="AD25" s="93">
        <f t="shared" si="12"/>
        <v>178.36596232000002</v>
      </c>
      <c r="AE25" s="93">
        <f t="shared" si="12"/>
        <v>183.58786783000005</v>
      </c>
      <c r="AF25" s="93">
        <f t="shared" ref="AF25:AJ25" si="13">AF17+AF10</f>
        <v>187.48957726131368</v>
      </c>
      <c r="AG25" s="93">
        <f t="shared" si="13"/>
        <v>175.95360103000004</v>
      </c>
      <c r="AH25" s="93">
        <f t="shared" si="13"/>
        <v>166.56677347999999</v>
      </c>
      <c r="AI25" s="93">
        <f t="shared" si="13"/>
        <v>183.49524977999997</v>
      </c>
      <c r="AJ25" s="93">
        <f t="shared" si="13"/>
        <v>188.01667729907101</v>
      </c>
      <c r="AK25" s="93">
        <f>AK17+AK10</f>
        <v>151.8117141594561</v>
      </c>
      <c r="AL25" s="93">
        <f>AL17+AL10</f>
        <v>147.6328105792995</v>
      </c>
      <c r="AM25" s="93">
        <f>AM17+AM10</f>
        <v>60.766985820000031</v>
      </c>
      <c r="AN25" s="93">
        <v>177.22567208228426</v>
      </c>
      <c r="AO25" s="93">
        <v>149.74889408738284</v>
      </c>
      <c r="AP25" s="93">
        <v>162.21798289443126</v>
      </c>
      <c r="AQ25" s="93">
        <v>210.94</v>
      </c>
      <c r="AR25" s="93">
        <v>259.19456512764049</v>
      </c>
      <c r="AS25" s="93">
        <f>AS17+AS10</f>
        <v>201.37976835056162</v>
      </c>
      <c r="AT25" s="93">
        <f t="shared" ref="AT25:BB25" si="14">AT10+AT17</f>
        <v>171.63148441124292</v>
      </c>
      <c r="AU25" s="93">
        <f t="shared" si="14"/>
        <v>211.40222353701657</v>
      </c>
      <c r="AV25" s="93">
        <f t="shared" si="14"/>
        <v>172.15459329915188</v>
      </c>
      <c r="AW25" s="93">
        <f t="shared" si="14"/>
        <v>163.24660430846092</v>
      </c>
      <c r="AX25" s="93">
        <f t="shared" si="14"/>
        <v>167.17626169582684</v>
      </c>
      <c r="AY25" s="93">
        <f t="shared" si="14"/>
        <v>183.61999754568336</v>
      </c>
      <c r="AZ25" s="93">
        <f t="shared" si="14"/>
        <v>186.36436440425257</v>
      </c>
      <c r="BA25" s="93">
        <f t="shared" si="14"/>
        <v>194.19300663841506</v>
      </c>
      <c r="BB25" s="93">
        <f t="shared" si="14"/>
        <v>161.91167629865708</v>
      </c>
    </row>
    <row r="26" spans="1:54">
      <c r="A26" s="53">
        <v>20</v>
      </c>
      <c r="C26" s="87"/>
      <c r="D26" s="87"/>
      <c r="E26" s="36"/>
      <c r="G26" s="53">
        <f t="shared" si="0"/>
        <v>20</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row>
    <row r="27" spans="1:54">
      <c r="A27" s="53">
        <v>21</v>
      </c>
      <c r="B27" s="5" t="s">
        <v>178</v>
      </c>
      <c r="C27" s="60">
        <f>HLOOKUP($C$7,$H$7:$BO$33,$G27,FALSE)</f>
        <v>-20.9</v>
      </c>
      <c r="D27" s="60">
        <f>HLOOKUP($D$7,$H$7:$BO$33,$G27,FALSE)</f>
        <v>-24.444234879999989</v>
      </c>
      <c r="E27" s="32">
        <f t="shared" si="3"/>
        <v>0.16958061626794207</v>
      </c>
      <c r="F27" s="48"/>
      <c r="G27" s="53">
        <f t="shared" si="0"/>
        <v>21</v>
      </c>
      <c r="H27" s="5" t="s">
        <v>178</v>
      </c>
      <c r="I27" s="40">
        <v>-13.511288560000001</v>
      </c>
      <c r="J27" s="40">
        <v>-15.730694790000001</v>
      </c>
      <c r="K27" s="40">
        <v>-14.94375202</v>
      </c>
      <c r="L27" s="40">
        <v>-15.521342820000001</v>
      </c>
      <c r="M27" s="40">
        <v>-13.954037509999999</v>
      </c>
      <c r="N27" s="40">
        <v>-14.80528035</v>
      </c>
      <c r="O27" s="40">
        <v>-13.73918705</v>
      </c>
      <c r="P27" s="40">
        <v>-13.4</v>
      </c>
      <c r="Q27" s="40">
        <v>-14.19469086</v>
      </c>
      <c r="R27" s="40">
        <v>-15.02867498</v>
      </c>
      <c r="S27" s="40">
        <v>-16.110477190000001</v>
      </c>
      <c r="T27" s="40">
        <v>-16.584576090000002</v>
      </c>
      <c r="U27" s="40">
        <v>-15.693575970000001</v>
      </c>
      <c r="V27" s="40">
        <v>-16.256828450000004</v>
      </c>
      <c r="W27" s="40">
        <v>-17.746854899999999</v>
      </c>
      <c r="X27" s="40">
        <v>-21.240113520000001</v>
      </c>
      <c r="Y27" s="40">
        <v>-19.39190297</v>
      </c>
      <c r="Z27" s="40">
        <v>-18.475289360000001</v>
      </c>
      <c r="AA27" s="40">
        <v>-17.7550566</v>
      </c>
      <c r="AB27" s="40">
        <f>+-19.52008206-AB61</f>
        <v>-18.015688310000002</v>
      </c>
      <c r="AC27" s="40">
        <f>+-18.14563445-AC61</f>
        <v>-16.681628180000001</v>
      </c>
      <c r="AD27" s="40">
        <v>-17.086857370000001</v>
      </c>
      <c r="AE27" s="40">
        <v>-16.935537579999995</v>
      </c>
      <c r="AF27" s="40">
        <v>-17.459000799999998</v>
      </c>
      <c r="AG27" s="40">
        <f>+-15.10311077-AG61</f>
        <v>-13.503110770000001</v>
      </c>
      <c r="AH27" s="40">
        <f>+-15.96317607-AH61</f>
        <v>-14.437053499999999</v>
      </c>
      <c r="AI27" s="40">
        <f>+-16.54621755-AI61</f>
        <v>-15.012555730000001</v>
      </c>
      <c r="AJ27" s="40">
        <f>+-17.7444132051426-AJ61</f>
        <v>-16.2179583251426</v>
      </c>
      <c r="AK27" s="40">
        <f>+-21.2684943257862-AK61</f>
        <v>-19.428022205786199</v>
      </c>
      <c r="AL27" s="40">
        <f>+-21.5443199442137-AL61</f>
        <v>-20.045353354213699</v>
      </c>
      <c r="AM27" s="40">
        <f>+-19.2992554288968-AM61</f>
        <v>-17.735888498896799</v>
      </c>
      <c r="AN27" s="40">
        <v>-16.079637595259822</v>
      </c>
      <c r="AO27" s="40">
        <v>-17.634083860105498</v>
      </c>
      <c r="AP27" s="40">
        <v>-19.528978769894493</v>
      </c>
      <c r="AQ27" s="40">
        <v>-18.940000000000001</v>
      </c>
      <c r="AR27" s="40">
        <v>-19.090453094425904</v>
      </c>
      <c r="AS27" s="40">
        <v>-19.6959955363691</v>
      </c>
      <c r="AT27" s="40">
        <v>-21.1</v>
      </c>
      <c r="AU27" s="40">
        <v>-21.092168078135348</v>
      </c>
      <c r="AV27" s="40">
        <v>-20.021616717902926</v>
      </c>
      <c r="AW27" s="40">
        <v>-18.808456503994844</v>
      </c>
      <c r="AX27" s="40">
        <v>-20.9</v>
      </c>
      <c r="AY27" s="40">
        <v>-20.935780231010899</v>
      </c>
      <c r="AZ27" s="40">
        <v>-21.613447239110638</v>
      </c>
      <c r="BA27" s="40">
        <v>-22.213365790000005</v>
      </c>
      <c r="BB27" s="40">
        <v>-24.444234879999989</v>
      </c>
    </row>
    <row r="28" spans="1:54">
      <c r="A28" s="53">
        <v>22</v>
      </c>
      <c r="B28" s="5" t="s">
        <v>204</v>
      </c>
      <c r="C28" s="60">
        <f>HLOOKUP($C$7,$H$7:$BO$33,$G28,FALSE)</f>
        <v>-14.6</v>
      </c>
      <c r="D28" s="60">
        <f>HLOOKUP($D$7,$H$7:$BO$33,$G28,FALSE)</f>
        <v>-17.377548350058436</v>
      </c>
      <c r="E28" s="32">
        <f t="shared" si="3"/>
        <v>0.19024303767523532</v>
      </c>
      <c r="G28" s="53">
        <f t="shared" si="0"/>
        <v>22</v>
      </c>
      <c r="H28" s="5" t="s">
        <v>204</v>
      </c>
      <c r="I28" s="40">
        <v>-4.6297593400000006</v>
      </c>
      <c r="J28" s="40">
        <v>-5.884523660000001</v>
      </c>
      <c r="K28" s="40">
        <v>-5.5682920600000001</v>
      </c>
      <c r="L28" s="40">
        <v>-6.5220293500000004</v>
      </c>
      <c r="M28" s="40">
        <v>-5.1150877699999997</v>
      </c>
      <c r="N28" s="40">
        <v>-6.0219605700000001</v>
      </c>
      <c r="O28" s="40">
        <v>-6.3402090600000003</v>
      </c>
      <c r="P28" s="40">
        <v>-11</v>
      </c>
      <c r="Q28" s="40">
        <v>-6.5020823799999965</v>
      </c>
      <c r="R28" s="40">
        <v>-8.009772479999997</v>
      </c>
      <c r="S28" s="40">
        <v>-7.9525749999999995</v>
      </c>
      <c r="T28" s="40">
        <v>-9.1727891499999981</v>
      </c>
      <c r="U28" s="40">
        <v>-8.0615386299999994</v>
      </c>
      <c r="V28" s="40">
        <v>-6.9816923099999997</v>
      </c>
      <c r="W28" s="40">
        <v>-7.0422980900000001</v>
      </c>
      <c r="X28" s="40">
        <v>-9.7220474300000017</v>
      </c>
      <c r="Y28" s="40">
        <v>-7.0583630999999993</v>
      </c>
      <c r="Z28" s="40">
        <v>-7.2230401099999986</v>
      </c>
      <c r="AA28" s="40">
        <v>-7.0517470699999993</v>
      </c>
      <c r="AB28" s="40">
        <f>+-10.4942574-AB62</f>
        <v>-9.1196006500000006</v>
      </c>
      <c r="AC28" s="40">
        <f>+-5.57047109-AC62</f>
        <v>-5.0442705099999996</v>
      </c>
      <c r="AD28" s="40">
        <v>-5.9828553699999993</v>
      </c>
      <c r="AE28" s="40">
        <v>-3.9182373899999976</v>
      </c>
      <c r="AF28" s="40">
        <v>-6.08522447</v>
      </c>
      <c r="AG28" s="40">
        <f>+-11.13666763-AG62</f>
        <v>-9.6851536399999993</v>
      </c>
      <c r="AH28" s="40">
        <f>+-10.3069637-AH62</f>
        <v>-10.39199872</v>
      </c>
      <c r="AI28" s="40">
        <f>+-10.66756838-AI62</f>
        <v>-9.15303383</v>
      </c>
      <c r="AJ28" s="40">
        <f>+-8.86662309606035-AJ62</f>
        <v>-8.1298155560603504</v>
      </c>
      <c r="AK28" s="40">
        <f>+-13.7149330412444-AK62</f>
        <v>-11.9634325012444</v>
      </c>
      <c r="AL28" s="40">
        <f>+-14.3817598902411-AL62</f>
        <v>-12.549477400241095</v>
      </c>
      <c r="AM28" s="40">
        <v>-10.8</v>
      </c>
      <c r="AN28" s="40">
        <v>-15.05374818999994</v>
      </c>
      <c r="AO28" s="40">
        <v>-11.531036829999994</v>
      </c>
      <c r="AP28" s="40">
        <v>-11.597439940000083</v>
      </c>
      <c r="AQ28" s="40">
        <v>-11.63</v>
      </c>
      <c r="AR28" s="40">
        <v>-14.44</v>
      </c>
      <c r="AS28" s="40">
        <v>-14.62311044999999</v>
      </c>
      <c r="AT28" s="40">
        <v>-16</v>
      </c>
      <c r="AU28" s="40">
        <v>-13.118692019145115</v>
      </c>
      <c r="AV28" s="40">
        <v>-15.499407698992222</v>
      </c>
      <c r="AW28" s="40">
        <v>-14.787580705413902</v>
      </c>
      <c r="AX28" s="40">
        <v>-14.6</v>
      </c>
      <c r="AY28" s="40">
        <v>-15.736744769072907</v>
      </c>
      <c r="AZ28" s="40">
        <v>-15.355077077452265</v>
      </c>
      <c r="BA28" s="40">
        <v>-15.56849087994156</v>
      </c>
      <c r="BB28" s="40">
        <v>-17.377548350058436</v>
      </c>
    </row>
    <row r="29" spans="1:54">
      <c r="A29" s="53">
        <v>23</v>
      </c>
      <c r="B29" s="5" t="s">
        <v>180</v>
      </c>
      <c r="C29" s="60">
        <f>HLOOKUP($C$7,$H$7:$BO$33,$G29,FALSE)</f>
        <v>-42.6</v>
      </c>
      <c r="D29" s="60">
        <f>HLOOKUP($D$7,$H$7:$BO$33,$G29,FALSE)</f>
        <v>-49.022504850000004</v>
      </c>
      <c r="E29" s="32">
        <f t="shared" si="3"/>
        <v>0.15076302464788749</v>
      </c>
      <c r="G29" s="53">
        <f t="shared" si="0"/>
        <v>23</v>
      </c>
      <c r="H29" s="5" t="s">
        <v>180</v>
      </c>
      <c r="I29" s="40">
        <v>-41.951805570000005</v>
      </c>
      <c r="J29" s="40">
        <v>-46.185509760000002</v>
      </c>
      <c r="K29" s="40">
        <v>-46.341475529999997</v>
      </c>
      <c r="L29" s="40">
        <v>-47.895657579999998</v>
      </c>
      <c r="M29" s="40">
        <v>-47.45246057</v>
      </c>
      <c r="N29" s="40">
        <v>-48.384940369999995</v>
      </c>
      <c r="O29" s="40">
        <v>-48.861872340000005</v>
      </c>
      <c r="P29" s="40">
        <v>-49</v>
      </c>
      <c r="Q29" s="40">
        <v>-47.859028649999999</v>
      </c>
      <c r="R29" s="40">
        <v>-47.103709719999998</v>
      </c>
      <c r="S29" s="40">
        <v>-49.023684110000005</v>
      </c>
      <c r="T29" s="40">
        <v>-52.043309690000001</v>
      </c>
      <c r="U29" s="40">
        <v>-51.537491310000007</v>
      </c>
      <c r="V29" s="40">
        <v>-52.338320930000002</v>
      </c>
      <c r="W29" s="40">
        <v>-51.70911498000001</v>
      </c>
      <c r="X29" s="40">
        <v>-35.670721700000001</v>
      </c>
      <c r="Y29" s="40">
        <v>-50.468340229999995</v>
      </c>
      <c r="Z29" s="40">
        <v>-50.577710360000012</v>
      </c>
      <c r="AA29" s="40">
        <v>-51.21465688</v>
      </c>
      <c r="AB29" s="40">
        <f>+-60.0190398-AB63</f>
        <v>-51.431602030000001</v>
      </c>
      <c r="AC29" s="40">
        <f>+-62.31854023-AC63</f>
        <v>-51.456948539999999</v>
      </c>
      <c r="AD29" s="40">
        <v>-52.281024099999996</v>
      </c>
      <c r="AE29" s="40">
        <v>-52.09153554000001</v>
      </c>
      <c r="AF29" s="40">
        <v>-48.783084410000029</v>
      </c>
      <c r="AG29" s="40">
        <f>+-60.57309273-AG63</f>
        <v>-49.373092729999996</v>
      </c>
      <c r="AH29" s="40">
        <f>+-60.98348462-AH63</f>
        <v>-49.504984109999995</v>
      </c>
      <c r="AI29" s="40">
        <f>+-62.10269554-AI63</f>
        <v>-49.919730049999998</v>
      </c>
      <c r="AJ29" s="40">
        <f>+-62.95540184-AJ63</f>
        <v>-51.263780879999999</v>
      </c>
      <c r="AK29" s="40">
        <f>+-55.4260933129534-AK63</f>
        <v>-46.478154362953397</v>
      </c>
      <c r="AL29" s="40">
        <f>+-52.1342169370466-AL63</f>
        <v>-43.349546447046599</v>
      </c>
      <c r="AM29" s="40">
        <v>-44.2</v>
      </c>
      <c r="AN29" s="40">
        <v>-43.716920891246126</v>
      </c>
      <c r="AO29" s="40">
        <v>-43.999264936535113</v>
      </c>
      <c r="AP29" s="40">
        <v>-46.399168885673078</v>
      </c>
      <c r="AQ29" s="40">
        <v>-45.14</v>
      </c>
      <c r="AR29" s="40">
        <v>-48.246406215271165</v>
      </c>
      <c r="AS29" s="40">
        <v>-41.61037170423436</v>
      </c>
      <c r="AT29" s="40">
        <v>-41.8</v>
      </c>
      <c r="AU29" s="40">
        <v>-41.64694816039836</v>
      </c>
      <c r="AV29" s="40">
        <v>-45.163429373454527</v>
      </c>
      <c r="AW29" s="40">
        <v>-42.106801747200095</v>
      </c>
      <c r="AX29" s="40">
        <v>-42.6</v>
      </c>
      <c r="AY29" s="40">
        <v>-45.183394619490841</v>
      </c>
      <c r="AZ29" s="40">
        <v>-49.588685739842603</v>
      </c>
      <c r="BA29" s="40">
        <v>-47.80309102999999</v>
      </c>
      <c r="BB29" s="40">
        <v>-49.022504850000004</v>
      </c>
    </row>
    <row r="30" spans="1:54">
      <c r="A30" s="53">
        <v>24</v>
      </c>
      <c r="C30" s="87"/>
      <c r="D30" s="87"/>
      <c r="E30" s="36"/>
      <c r="G30" s="53">
        <f t="shared" si="0"/>
        <v>24</v>
      </c>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row>
    <row r="31" spans="1:54">
      <c r="A31" s="53">
        <v>25</v>
      </c>
      <c r="B31" s="92" t="s">
        <v>205</v>
      </c>
      <c r="C31" s="95">
        <f>HLOOKUP($C$7,$H$7:$BO$33,$G31,FALSE)</f>
        <v>89.076261695826844</v>
      </c>
      <c r="D31" s="95">
        <f>HLOOKUP($D$7,$H$7:$BO$33,$G31,FALSE)</f>
        <v>71.067388218598666</v>
      </c>
      <c r="E31" s="96">
        <f t="shared" si="3"/>
        <v>-0.20217365585821256</v>
      </c>
      <c r="G31" s="53">
        <f t="shared" si="0"/>
        <v>25</v>
      </c>
      <c r="H31" s="92" t="s">
        <v>205</v>
      </c>
      <c r="I31" s="93">
        <f t="shared" ref="I31:AE31" si="15">I25+I27+I28+I29</f>
        <v>77.800892900000022</v>
      </c>
      <c r="J31" s="93">
        <f t="shared" si="15"/>
        <v>94.644525479999999</v>
      </c>
      <c r="K31" s="93">
        <f t="shared" si="15"/>
        <v>70.629866509999971</v>
      </c>
      <c r="L31" s="93">
        <f t="shared" si="15"/>
        <v>111.10687665999998</v>
      </c>
      <c r="M31" s="93">
        <f t="shared" si="15"/>
        <v>45.325441340000026</v>
      </c>
      <c r="N31" s="93">
        <f t="shared" si="15"/>
        <v>87.98138193000004</v>
      </c>
      <c r="O31" s="93">
        <f t="shared" si="15"/>
        <v>132.02826607999998</v>
      </c>
      <c r="P31" s="93">
        <f t="shared" si="15"/>
        <v>123.1</v>
      </c>
      <c r="Q31" s="93">
        <f t="shared" si="15"/>
        <v>105.64681671</v>
      </c>
      <c r="R31" s="93">
        <f t="shared" si="15"/>
        <v>94.886658069999967</v>
      </c>
      <c r="S31" s="93">
        <f t="shared" si="15"/>
        <v>57.428472359999958</v>
      </c>
      <c r="T31" s="93">
        <f t="shared" si="15"/>
        <v>91.720371839999956</v>
      </c>
      <c r="U31" s="93">
        <f t="shared" si="15"/>
        <v>91.850211179999945</v>
      </c>
      <c r="V31" s="93">
        <f t="shared" si="15"/>
        <v>95.226815070000015</v>
      </c>
      <c r="W31" s="93">
        <f t="shared" si="15"/>
        <v>108.84562639999996</v>
      </c>
      <c r="X31" s="93">
        <f t="shared" si="15"/>
        <v>151.36591756000004</v>
      </c>
      <c r="Y31" s="93">
        <f t="shared" si="15"/>
        <v>103.18760492000004</v>
      </c>
      <c r="Z31" s="93">
        <f t="shared" si="15"/>
        <v>91.101717910000062</v>
      </c>
      <c r="AA31" s="93">
        <f t="shared" si="15"/>
        <v>97.767246650000033</v>
      </c>
      <c r="AB31" s="93">
        <f t="shared" si="15"/>
        <v>152.02939168000003</v>
      </c>
      <c r="AC31" s="93">
        <f t="shared" si="15"/>
        <v>97.442282880000036</v>
      </c>
      <c r="AD31" s="93">
        <f t="shared" si="15"/>
        <v>103.01522548000003</v>
      </c>
      <c r="AE31" s="93">
        <f t="shared" si="15"/>
        <v>110.64255732000005</v>
      </c>
      <c r="AF31" s="93">
        <f>AF25+AF27+AF28+AF29</f>
        <v>115.16226758131363</v>
      </c>
      <c r="AG31" s="93">
        <f t="shared" ref="AG31:AM31" si="16">AG25+AG27+AG28+AG29</f>
        <v>103.39224389000003</v>
      </c>
      <c r="AH31" s="93">
        <f t="shared" si="16"/>
        <v>92.232737150000005</v>
      </c>
      <c r="AI31" s="93">
        <f t="shared" si="16"/>
        <v>109.40993016999997</v>
      </c>
      <c r="AJ31" s="93">
        <f t="shared" si="16"/>
        <v>112.40512253786805</v>
      </c>
      <c r="AK31" s="93">
        <f t="shared" si="16"/>
        <v>73.942105089472108</v>
      </c>
      <c r="AL31" s="93">
        <f t="shared" si="16"/>
        <v>71.688433377798106</v>
      </c>
      <c r="AM31" s="93">
        <f t="shared" si="16"/>
        <v>-11.968902678896768</v>
      </c>
      <c r="AN31" s="93">
        <f>AN25+AN27+AN28+AN29</f>
        <v>102.37536540577838</v>
      </c>
      <c r="AO31" s="93">
        <f>AO25+AO27+AO28+AO29</f>
        <v>76.584508460742228</v>
      </c>
      <c r="AP31" s="93">
        <f>AP25+AP27+AP28+AP29</f>
        <v>84.69239529886363</v>
      </c>
      <c r="AQ31" s="93">
        <f t="shared" ref="AQ31" si="17">AQ25+AQ27+AQ28+AQ29</f>
        <v>135.23000000000002</v>
      </c>
      <c r="AR31" s="93">
        <f>AR25+AR27+AR28+AR29</f>
        <v>177.41770581794344</v>
      </c>
      <c r="AS31" s="93">
        <f t="shared" ref="AS31:AU31" si="18">AS25+AS27+AS28+AS29</f>
        <v>125.45029065995817</v>
      </c>
      <c r="AT31" s="93">
        <f t="shared" si="18"/>
        <v>92.731484411242931</v>
      </c>
      <c r="AU31" s="93">
        <f t="shared" si="18"/>
        <v>135.54441527933776</v>
      </c>
      <c r="AV31" s="93">
        <f>AV25+AV27+AV28+AV29</f>
        <v>91.470139508802191</v>
      </c>
      <c r="AW31" s="93">
        <f t="shared" ref="AW31:BB31" si="19">AW25+AW27+AW28+AW29</f>
        <v>87.543765351852088</v>
      </c>
      <c r="AX31" s="93">
        <f t="shared" si="19"/>
        <v>89.076261695826844</v>
      </c>
      <c r="AY31" s="93">
        <f t="shared" si="19"/>
        <v>101.7640779261087</v>
      </c>
      <c r="AZ31" s="93">
        <f t="shared" si="19"/>
        <v>99.807154347847089</v>
      </c>
      <c r="BA31" s="93">
        <f t="shared" si="19"/>
        <v>108.6080589384735</v>
      </c>
      <c r="BB31" s="93">
        <f t="shared" si="19"/>
        <v>71.067388218598666</v>
      </c>
    </row>
    <row r="32" spans="1:54">
      <c r="A32" s="53">
        <v>26</v>
      </c>
      <c r="B32" s="37"/>
      <c r="C32" s="88"/>
      <c r="D32" s="88"/>
      <c r="E32" s="39"/>
      <c r="G32" s="53">
        <f t="shared" si="0"/>
        <v>26</v>
      </c>
      <c r="H32" s="37"/>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row>
    <row r="33" spans="1:54">
      <c r="A33" s="53">
        <v>27</v>
      </c>
      <c r="B33" s="92" t="s">
        <v>182</v>
      </c>
      <c r="C33" s="95">
        <f>HLOOKUP($C$7,$H$7:$BO$33,$G33,FALSE)</f>
        <v>131.67626169582684</v>
      </c>
      <c r="D33" s="95">
        <f>HLOOKUP($D$7,$H$7:$BO$33,$G33,FALSE)</f>
        <v>120.08989306859867</v>
      </c>
      <c r="E33" s="94">
        <f t="shared" si="3"/>
        <v>-8.799132416131894E-2</v>
      </c>
      <c r="F33" s="62"/>
      <c r="G33" s="53">
        <f t="shared" si="0"/>
        <v>27</v>
      </c>
      <c r="H33" s="92" t="s">
        <v>182</v>
      </c>
      <c r="I33" s="93">
        <f t="shared" ref="I33:AE33" si="20">I31-I29</f>
        <v>119.75269847000003</v>
      </c>
      <c r="J33" s="93">
        <f t="shared" si="20"/>
        <v>140.83003524</v>
      </c>
      <c r="K33" s="93">
        <f t="shared" si="20"/>
        <v>116.97134203999997</v>
      </c>
      <c r="L33" s="93">
        <f t="shared" si="20"/>
        <v>159.00253423999999</v>
      </c>
      <c r="M33" s="93">
        <f t="shared" si="20"/>
        <v>92.777901910000026</v>
      </c>
      <c r="N33" s="93">
        <f t="shared" si="20"/>
        <v>136.36632230000004</v>
      </c>
      <c r="O33" s="93">
        <f t="shared" si="20"/>
        <v>180.89013841999997</v>
      </c>
      <c r="P33" s="93">
        <f t="shared" si="20"/>
        <v>172.1</v>
      </c>
      <c r="Q33" s="93">
        <f t="shared" si="20"/>
        <v>153.50584536</v>
      </c>
      <c r="R33" s="93">
        <f t="shared" si="20"/>
        <v>141.99036778999996</v>
      </c>
      <c r="S33" s="93">
        <f t="shared" si="20"/>
        <v>106.45215646999996</v>
      </c>
      <c r="T33" s="93">
        <f t="shared" si="20"/>
        <v>143.76368152999996</v>
      </c>
      <c r="U33" s="93">
        <f t="shared" si="20"/>
        <v>143.38770248999995</v>
      </c>
      <c r="V33" s="93">
        <f t="shared" si="20"/>
        <v>147.56513600000002</v>
      </c>
      <c r="W33" s="93">
        <f t="shared" si="20"/>
        <v>160.55474137999997</v>
      </c>
      <c r="X33" s="93">
        <f t="shared" si="20"/>
        <v>187.03663926000004</v>
      </c>
      <c r="Y33" s="93">
        <f t="shared" si="20"/>
        <v>153.65594515000004</v>
      </c>
      <c r="Z33" s="93">
        <f t="shared" si="20"/>
        <v>141.67942827000007</v>
      </c>
      <c r="AA33" s="93">
        <f t="shared" si="20"/>
        <v>148.98190353000004</v>
      </c>
      <c r="AB33" s="93">
        <f t="shared" si="20"/>
        <v>203.46099371000003</v>
      </c>
      <c r="AC33" s="93">
        <f t="shared" si="20"/>
        <v>148.89923142000004</v>
      </c>
      <c r="AD33" s="93">
        <f t="shared" si="20"/>
        <v>155.29624958000002</v>
      </c>
      <c r="AE33" s="93">
        <f t="shared" si="20"/>
        <v>162.73409286000006</v>
      </c>
      <c r="AF33" s="93">
        <f>AF31-AF29</f>
        <v>163.94535199131366</v>
      </c>
      <c r="AG33" s="93">
        <f>172.34723633-AG67</f>
        <v>152.76533661999997</v>
      </c>
      <c r="AH33" s="93">
        <f>155.26443032-AH67</f>
        <v>141.73772126</v>
      </c>
      <c r="AI33" s="93">
        <f>174.98602269-AI67</f>
        <v>159.32966021999999</v>
      </c>
      <c r="AJ33" s="93">
        <f>AJ31-AJ29</f>
        <v>163.66890341786805</v>
      </c>
      <c r="AK33" s="93">
        <f>137.354311322426-AK67</f>
        <v>120.42025945242602</v>
      </c>
      <c r="AL33" s="93">
        <v>115.09148957484453</v>
      </c>
      <c r="AM33" s="93">
        <f>71.84-AM67</f>
        <v>51.977266710000002</v>
      </c>
      <c r="AN33" s="93">
        <v>146.092286297025</v>
      </c>
      <c r="AO33" s="93">
        <f t="shared" ref="AO33:AT33" si="21">AO31-AO29</f>
        <v>120.58377339727734</v>
      </c>
      <c r="AP33" s="93">
        <f t="shared" si="21"/>
        <v>131.09156418453671</v>
      </c>
      <c r="AQ33" s="93">
        <f t="shared" si="21"/>
        <v>180.37</v>
      </c>
      <c r="AR33" s="93">
        <f t="shared" si="21"/>
        <v>225.66411203321462</v>
      </c>
      <c r="AS33" s="93">
        <f t="shared" si="21"/>
        <v>167.06066236419252</v>
      </c>
      <c r="AT33" s="93">
        <f t="shared" si="21"/>
        <v>134.53148441124293</v>
      </c>
      <c r="AU33" s="93">
        <f t="shared" ref="AU33:BB33" si="22">AU31-AU29</f>
        <v>177.19136343973611</v>
      </c>
      <c r="AV33" s="93">
        <f t="shared" si="22"/>
        <v>136.63356888225672</v>
      </c>
      <c r="AW33" s="93">
        <f t="shared" si="22"/>
        <v>129.65056709905218</v>
      </c>
      <c r="AX33" s="93">
        <f t="shared" si="22"/>
        <v>131.67626169582684</v>
      </c>
      <c r="AY33" s="93">
        <f t="shared" si="22"/>
        <v>146.94747254559954</v>
      </c>
      <c r="AZ33" s="93">
        <f t="shared" si="22"/>
        <v>149.39584008768969</v>
      </c>
      <c r="BA33" s="93">
        <f t="shared" si="22"/>
        <v>156.4111499684735</v>
      </c>
      <c r="BB33" s="93">
        <f t="shared" si="22"/>
        <v>120.08989306859867</v>
      </c>
    </row>
    <row r="35" spans="1:54">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row>
    <row r="36" spans="1:54">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row>
    <row r="37" spans="1:54" ht="28.5" customHeight="1">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row>
    <row r="38" spans="1:54" ht="28.5" customHeight="1">
      <c r="B38" s="68"/>
      <c r="C38" s="68"/>
      <c r="D38" s="68"/>
      <c r="E38" s="77"/>
      <c r="F38" s="68"/>
      <c r="G38" s="89"/>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row>
    <row r="39" spans="1:54" ht="28.5" customHeight="1"/>
    <row r="40" spans="1:54" ht="23.25">
      <c r="B40" s="11" t="s">
        <v>29</v>
      </c>
      <c r="C40" s="12"/>
      <c r="D40" s="12"/>
      <c r="E40" s="12"/>
      <c r="H40" s="11" t="s">
        <v>29</v>
      </c>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row>
    <row r="41" spans="1:54" ht="9" customHeight="1"/>
    <row r="42" spans="1:54" s="123" customFormat="1">
      <c r="A42" s="124">
        <v>1</v>
      </c>
      <c r="B42" s="3" t="s">
        <v>196</v>
      </c>
      <c r="C42" s="134" t="str">
        <f>C7</f>
        <v>2Q24</v>
      </c>
      <c r="D42" s="134" t="str">
        <f>D7</f>
        <v>2Q25</v>
      </c>
      <c r="E42" s="134" t="s">
        <v>206</v>
      </c>
      <c r="G42" s="124">
        <v>1</v>
      </c>
      <c r="H42" s="3" t="s">
        <v>207</v>
      </c>
      <c r="I42" s="134" t="s">
        <v>101</v>
      </c>
      <c r="J42" s="134" t="s">
        <v>102</v>
      </c>
      <c r="K42" s="134" t="s">
        <v>103</v>
      </c>
      <c r="L42" s="134" t="s">
        <v>104</v>
      </c>
      <c r="M42" s="134" t="s">
        <v>105</v>
      </c>
      <c r="N42" s="134" t="s">
        <v>106</v>
      </c>
      <c r="O42" s="134" t="s">
        <v>107</v>
      </c>
      <c r="P42" s="134" t="s">
        <v>108</v>
      </c>
      <c r="Q42" s="134" t="s">
        <v>109</v>
      </c>
      <c r="R42" s="134" t="s">
        <v>110</v>
      </c>
      <c r="S42" s="134" t="s">
        <v>111</v>
      </c>
      <c r="T42" s="134" t="s">
        <v>112</v>
      </c>
      <c r="U42" s="134" t="s">
        <v>113</v>
      </c>
      <c r="V42" s="134" t="s">
        <v>114</v>
      </c>
      <c r="W42" s="134" t="s">
        <v>115</v>
      </c>
      <c r="X42" s="134" t="s">
        <v>116</v>
      </c>
      <c r="Y42" s="134" t="s">
        <v>117</v>
      </c>
      <c r="Z42" s="134" t="s">
        <v>118</v>
      </c>
      <c r="AA42" s="134" t="s">
        <v>119</v>
      </c>
      <c r="AB42" s="134" t="s">
        <v>120</v>
      </c>
      <c r="AC42" s="134" t="s">
        <v>121</v>
      </c>
      <c r="AD42" s="134" t="s">
        <v>165</v>
      </c>
      <c r="AE42" s="134" t="s">
        <v>208</v>
      </c>
      <c r="AF42" s="134" t="s">
        <v>209</v>
      </c>
      <c r="AG42" s="134" t="s">
        <v>125</v>
      </c>
      <c r="AH42" s="134" t="s">
        <v>126</v>
      </c>
      <c r="AI42" s="134" t="s">
        <v>127</v>
      </c>
      <c r="AJ42" s="134" t="s">
        <v>128</v>
      </c>
      <c r="AK42" s="134" t="s">
        <v>129</v>
      </c>
      <c r="AL42" s="134" t="s">
        <v>130</v>
      </c>
      <c r="AM42" s="134" t="s">
        <v>131</v>
      </c>
      <c r="AN42" s="134" t="s">
        <v>132</v>
      </c>
      <c r="AO42" s="134" t="s">
        <v>133</v>
      </c>
      <c r="AP42" s="134" t="s">
        <v>134</v>
      </c>
      <c r="AQ42" s="134" t="s">
        <v>135</v>
      </c>
      <c r="AR42" s="134" t="s">
        <v>136</v>
      </c>
      <c r="AS42" s="134" t="s">
        <v>137</v>
      </c>
      <c r="AT42" s="134" t="s">
        <v>138</v>
      </c>
      <c r="AU42" s="134" t="s">
        <v>139</v>
      </c>
      <c r="AV42" s="134" t="s">
        <v>98</v>
      </c>
      <c r="AW42" s="134" t="s">
        <v>140</v>
      </c>
      <c r="AX42" s="134" t="s">
        <v>141</v>
      </c>
      <c r="AY42" s="134" t="s">
        <v>142</v>
      </c>
      <c r="AZ42" s="134" t="s">
        <v>99</v>
      </c>
      <c r="BA42" s="134" t="s">
        <v>236</v>
      </c>
      <c r="BB42" s="134" t="s">
        <v>237</v>
      </c>
    </row>
    <row r="43" spans="1:54" s="123" customFormat="1">
      <c r="A43" s="124">
        <v>2</v>
      </c>
      <c r="B43" s="3" t="s">
        <v>166</v>
      </c>
      <c r="C43" s="134"/>
      <c r="D43" s="134"/>
      <c r="E43" s="134"/>
      <c r="G43" s="124">
        <f>G42+1</f>
        <v>2</v>
      </c>
      <c r="H43" s="3" t="s">
        <v>166</v>
      </c>
      <c r="I43" s="134"/>
      <c r="J43" s="134"/>
      <c r="K43" s="134"/>
      <c r="L43" s="134"/>
      <c r="M43" s="134"/>
      <c r="N43" s="134"/>
      <c r="O43" s="134"/>
      <c r="P43" s="134"/>
      <c r="Q43" s="134"/>
      <c r="R43" s="134"/>
      <c r="S43" s="134"/>
      <c r="T43" s="134"/>
      <c r="U43" s="134"/>
      <c r="V43" s="134"/>
      <c r="W43" s="134"/>
      <c r="X43" s="134"/>
      <c r="Y43" s="134"/>
      <c r="Z43" s="134"/>
      <c r="AA43" s="134"/>
      <c r="AB43" s="134"/>
      <c r="AC43" s="134" t="s">
        <v>121</v>
      </c>
      <c r="AD43" s="134" t="s">
        <v>121</v>
      </c>
      <c r="AE43" s="134" t="s">
        <v>121</v>
      </c>
      <c r="AF43" s="134" t="s">
        <v>121</v>
      </c>
      <c r="AG43" s="134"/>
      <c r="AH43" s="134"/>
      <c r="AI43" s="134"/>
      <c r="AJ43" s="134" t="s">
        <v>121</v>
      </c>
      <c r="AK43" s="134"/>
      <c r="AL43" s="134"/>
      <c r="AM43" s="134"/>
      <c r="AN43" s="134"/>
      <c r="AO43" s="134"/>
      <c r="AP43" s="134"/>
      <c r="AQ43" s="134"/>
      <c r="AR43" s="134"/>
      <c r="AS43" s="134"/>
      <c r="AT43" s="134"/>
      <c r="AU43" s="134"/>
      <c r="AV43" s="134"/>
      <c r="AW43" s="134"/>
      <c r="AX43" s="134"/>
      <c r="AY43" s="134"/>
      <c r="AZ43" s="134"/>
      <c r="BA43" s="134"/>
      <c r="BB43" s="134"/>
    </row>
    <row r="44" spans="1:54" ht="6.75" customHeight="1">
      <c r="A44" s="53">
        <v>3</v>
      </c>
      <c r="G44" s="53">
        <f t="shared" ref="G44:G67" si="23">G43+1</f>
        <v>3</v>
      </c>
    </row>
    <row r="45" spans="1:54">
      <c r="A45" s="53">
        <v>4</v>
      </c>
      <c r="B45" s="92" t="s">
        <v>196</v>
      </c>
      <c r="C45" s="93">
        <f t="shared" ref="C45:C50" si="24">HLOOKUP($C$42,$H$42:$BH$67,$G45,FALSE)</f>
        <v>53.065952310000007</v>
      </c>
      <c r="D45" s="93">
        <f t="shared" ref="D45:D50" si="25">HLOOKUP($D$42,$H$42:$BH$67,$G45,FALSE)</f>
        <v>57.309596529999993</v>
      </c>
      <c r="E45" s="97">
        <f>D45/C45-1</f>
        <v>7.9969246480483758E-2</v>
      </c>
      <c r="G45" s="53">
        <f t="shared" si="23"/>
        <v>4</v>
      </c>
      <c r="H45" s="92" t="s">
        <v>196</v>
      </c>
      <c r="I45" s="98"/>
      <c r="J45" s="98"/>
      <c r="K45" s="98"/>
      <c r="L45" s="98"/>
      <c r="M45" s="98"/>
      <c r="N45" s="98"/>
      <c r="O45" s="98"/>
      <c r="P45" s="98"/>
      <c r="Q45" s="93">
        <f t="shared" ref="Q45:X45" si="26">SUM(Q46:Q50)</f>
        <v>55.583655499999999</v>
      </c>
      <c r="R45" s="93">
        <f t="shared" si="26"/>
        <v>54.9629184</v>
      </c>
      <c r="S45" s="93">
        <f t="shared" si="26"/>
        <v>49.082694860000004</v>
      </c>
      <c r="T45" s="93">
        <f t="shared" si="26"/>
        <v>57.097280980000001</v>
      </c>
      <c r="U45" s="93">
        <f t="shared" si="26"/>
        <v>47.636293819999999</v>
      </c>
      <c r="V45" s="93">
        <f t="shared" si="26"/>
        <v>46.971507459999998</v>
      </c>
      <c r="W45" s="93">
        <f t="shared" si="26"/>
        <v>51.493997259999993</v>
      </c>
      <c r="X45" s="93">
        <f t="shared" si="26"/>
        <v>46.735641690000008</v>
      </c>
      <c r="Y45" s="93">
        <f t="shared" ref="Y45:AE45" si="27">SUM(Y46:Y50)</f>
        <v>52.673049919999997</v>
      </c>
      <c r="Z45" s="93">
        <f t="shared" si="27"/>
        <v>52.289317230000002</v>
      </c>
      <c r="AA45" s="93">
        <f t="shared" si="27"/>
        <v>40.085187489999996</v>
      </c>
      <c r="AB45" s="93">
        <f t="shared" si="27"/>
        <v>38.385628109999999</v>
      </c>
      <c r="AC45" s="93">
        <f t="shared" si="27"/>
        <v>41.960275469999999</v>
      </c>
      <c r="AD45" s="93">
        <f t="shared" si="27"/>
        <v>41.306034390000001</v>
      </c>
      <c r="AE45" s="93">
        <f t="shared" si="27"/>
        <v>44.203243349999994</v>
      </c>
      <c r="AF45" s="93">
        <f t="shared" ref="AF45:AM45" si="28">SUM(AF46:AF50)</f>
        <v>47.314848999999995</v>
      </c>
      <c r="AG45" s="93">
        <f t="shared" si="28"/>
        <v>37.681899710000003</v>
      </c>
      <c r="AH45" s="93">
        <f t="shared" si="28"/>
        <v>34.790087870000001</v>
      </c>
      <c r="AI45" s="93">
        <f t="shared" si="28"/>
        <v>42.889557519999997</v>
      </c>
      <c r="AJ45" s="93">
        <f t="shared" si="28"/>
        <v>44.078781450000001</v>
      </c>
      <c r="AK45" s="93">
        <f t="shared" si="28"/>
        <v>37.959551309999995</v>
      </c>
      <c r="AL45" s="93">
        <f t="shared" si="28"/>
        <v>39.865567810000002</v>
      </c>
      <c r="AM45" s="93">
        <f t="shared" si="28"/>
        <v>48.977401450000002</v>
      </c>
      <c r="AN45" s="93">
        <f>SUM(AN46:AN50)</f>
        <v>45.018566209999996</v>
      </c>
      <c r="AO45" s="93">
        <f>SUM(AO46:AO50)</f>
        <v>55.119108129999994</v>
      </c>
      <c r="AP45" s="93">
        <f t="shared" ref="AP45:AR45" si="29">SUM(AP46:AP50)</f>
        <v>52.990921339999993</v>
      </c>
      <c r="AQ45" s="93">
        <f t="shared" si="29"/>
        <v>59.16</v>
      </c>
      <c r="AR45" s="93">
        <f t="shared" si="29"/>
        <v>85.251319180000024</v>
      </c>
      <c r="AS45" s="93">
        <v>59.551101580000008</v>
      </c>
      <c r="AT45" s="93">
        <v>63.674510569999995</v>
      </c>
      <c r="AU45" s="93">
        <f>SUM(AU46:AU51)</f>
        <v>126.55246784000001</v>
      </c>
      <c r="AV45" s="93">
        <v>62.456728449999957</v>
      </c>
      <c r="AW45" s="93">
        <f>SUM(AW46:AW50)</f>
        <v>50.880384659999997</v>
      </c>
      <c r="AX45" s="93">
        <f>SUM(AX46:AX50)</f>
        <v>53.065952310000007</v>
      </c>
      <c r="AY45" s="93">
        <f>SUM(AY46:AY50)</f>
        <v>59.727088880000018</v>
      </c>
      <c r="AZ45" s="93">
        <f>SUM(AZ46:AZ50)</f>
        <v>57.358643819999983</v>
      </c>
      <c r="BA45" s="93">
        <f t="shared" ref="BA45:BB45" si="30">SUM(BA46:BA50)</f>
        <v>56.378951010000009</v>
      </c>
      <c r="BB45" s="93">
        <f t="shared" si="30"/>
        <v>57.309596529999993</v>
      </c>
    </row>
    <row r="46" spans="1:54">
      <c r="A46" s="53">
        <v>5</v>
      </c>
      <c r="B46" s="5" t="s">
        <v>198</v>
      </c>
      <c r="C46" s="7">
        <f t="shared" si="24"/>
        <v>22.21226522000001</v>
      </c>
      <c r="D46" s="7">
        <f t="shared" si="25"/>
        <v>28.957311909999998</v>
      </c>
      <c r="E46" s="32">
        <f>D46/C46-1</f>
        <v>0.30366316191500919</v>
      </c>
      <c r="G46" s="53">
        <f t="shared" si="23"/>
        <v>5</v>
      </c>
      <c r="H46" s="5" t="s">
        <v>198</v>
      </c>
      <c r="I46" s="7"/>
      <c r="J46" s="7"/>
      <c r="K46" s="7"/>
      <c r="L46" s="7"/>
      <c r="M46" s="7"/>
      <c r="N46" s="7"/>
      <c r="O46" s="7"/>
      <c r="P46" s="7"/>
      <c r="Q46" s="7">
        <v>32.460313200000002</v>
      </c>
      <c r="R46" s="7">
        <v>29.138366089999998</v>
      </c>
      <c r="S46" s="7">
        <v>28.332158719999999</v>
      </c>
      <c r="T46" s="7">
        <v>29.400125059999997</v>
      </c>
      <c r="U46" s="7">
        <v>30.41764161</v>
      </c>
      <c r="V46" s="7">
        <v>29.193580749999999</v>
      </c>
      <c r="W46" s="7">
        <v>31.344619299999998</v>
      </c>
      <c r="X46" s="7">
        <v>31.739627410000004</v>
      </c>
      <c r="Y46" s="7">
        <v>28.93242343</v>
      </c>
      <c r="Z46" s="7">
        <v>27.544648819999999</v>
      </c>
      <c r="AA46" s="7">
        <v>26.837658909999995</v>
      </c>
      <c r="AB46" s="7">
        <v>23.979617300000001</v>
      </c>
      <c r="AC46" s="7">
        <v>27.59225554</v>
      </c>
      <c r="AD46" s="7">
        <v>27.797825039999999</v>
      </c>
      <c r="AE46" s="7">
        <v>27.159665349999997</v>
      </c>
      <c r="AF46" s="7">
        <v>28.902238430000001</v>
      </c>
      <c r="AG46" s="7">
        <v>29.28596782</v>
      </c>
      <c r="AH46" s="7">
        <v>25.058760310000004</v>
      </c>
      <c r="AI46" s="7">
        <v>26.776863710000001</v>
      </c>
      <c r="AJ46" s="7">
        <v>27.41628996</v>
      </c>
      <c r="AK46" s="7">
        <v>27.355224159999995</v>
      </c>
      <c r="AL46" s="7">
        <v>26.134258350000007</v>
      </c>
      <c r="AM46" s="7">
        <v>24.594859840000002</v>
      </c>
      <c r="AN46" s="7">
        <v>27.170235019999996</v>
      </c>
      <c r="AO46" s="7">
        <v>36.349817639999998</v>
      </c>
      <c r="AP46" s="7">
        <v>35.654689489999996</v>
      </c>
      <c r="AQ46" s="7">
        <v>36.049999999999997</v>
      </c>
      <c r="AR46" s="7">
        <v>38.99920877000001</v>
      </c>
      <c r="AS46" s="7">
        <v>40.230762770000005</v>
      </c>
      <c r="AT46" s="7">
        <v>40.48225747</v>
      </c>
      <c r="AU46" s="7">
        <v>38.098906320000005</v>
      </c>
      <c r="AV46" s="7">
        <v>40.60102521999999</v>
      </c>
      <c r="AW46" s="7">
        <v>23.754069259999998</v>
      </c>
      <c r="AX46" s="7">
        <v>22.21226522000001</v>
      </c>
      <c r="AY46" s="7">
        <v>21.520888490000001</v>
      </c>
      <c r="AZ46" s="7">
        <v>22.569555789999985</v>
      </c>
      <c r="BA46" s="7">
        <v>28.487035909999999</v>
      </c>
      <c r="BB46" s="7">
        <v>28.957311909999998</v>
      </c>
    </row>
    <row r="47" spans="1:54">
      <c r="A47" s="53">
        <v>6</v>
      </c>
      <c r="B47" s="5" t="s">
        <v>199</v>
      </c>
      <c r="C47" s="7">
        <f t="shared" si="24"/>
        <v>18.587312760000003</v>
      </c>
      <c r="D47" s="7">
        <f t="shared" si="25"/>
        <v>22.694546469999992</v>
      </c>
      <c r="E47" s="32">
        <f t="shared" ref="E47:E48" si="31">D47/C47-1</f>
        <v>0.22096974226628263</v>
      </c>
      <c r="G47" s="53">
        <f t="shared" si="23"/>
        <v>6</v>
      </c>
      <c r="H47" s="5" t="s">
        <v>199</v>
      </c>
      <c r="I47" s="7"/>
      <c r="J47" s="7"/>
      <c r="K47" s="7"/>
      <c r="L47" s="7"/>
      <c r="M47" s="7"/>
      <c r="N47" s="7"/>
      <c r="O47" s="7"/>
      <c r="P47" s="7"/>
      <c r="Q47" s="7">
        <v>5.6</v>
      </c>
      <c r="R47" s="7">
        <v>6.6</v>
      </c>
      <c r="S47" s="7">
        <v>6.1689418100000006</v>
      </c>
      <c r="T47" s="7">
        <v>0.29570797999999998</v>
      </c>
      <c r="U47" s="7">
        <v>3.9916751399999995</v>
      </c>
      <c r="V47" s="7">
        <v>3.8195686800000002</v>
      </c>
      <c r="W47" s="7">
        <v>3.3034332700000002</v>
      </c>
      <c r="X47" s="7">
        <v>1.5023979999999982E-2</v>
      </c>
      <c r="Y47" s="7">
        <v>7.9133462900000007</v>
      </c>
      <c r="Z47" s="7">
        <v>9.3299704900000009</v>
      </c>
      <c r="AA47" s="7">
        <v>5.3961819800000006</v>
      </c>
      <c r="AB47" s="7">
        <v>6.9740460799999999</v>
      </c>
      <c r="AC47" s="7">
        <v>8.3434991900000011</v>
      </c>
      <c r="AD47" s="7">
        <v>7.6966708700000002</v>
      </c>
      <c r="AE47" s="7">
        <v>8.1598182400000017</v>
      </c>
      <c r="AF47" s="7">
        <v>8.1723705200000012</v>
      </c>
      <c r="AG47" s="7">
        <v>5.4581992300000008</v>
      </c>
      <c r="AH47" s="7">
        <v>4.3626116799999997</v>
      </c>
      <c r="AI47" s="7">
        <v>6.5637490400000003</v>
      </c>
      <c r="AJ47" s="7">
        <v>6.0036959899999989</v>
      </c>
      <c r="AK47" s="7">
        <v>6.59947835</v>
      </c>
      <c r="AL47" s="7">
        <v>5.7830713399999993</v>
      </c>
      <c r="AM47" s="7">
        <v>4.5775767700000021</v>
      </c>
      <c r="AN47" s="7">
        <v>5.6099754299999951</v>
      </c>
      <c r="AO47" s="7">
        <v>4.9982266399999995</v>
      </c>
      <c r="AP47" s="7">
        <v>4.65102745</v>
      </c>
      <c r="AQ47" s="7">
        <v>4.84</v>
      </c>
      <c r="AR47" s="7">
        <v>5.3602715899999991</v>
      </c>
      <c r="AS47" s="7">
        <v>15.25510736</v>
      </c>
      <c r="AT47" s="7">
        <v>19.834535929999998</v>
      </c>
      <c r="AU47" s="7">
        <v>36.487683440000012</v>
      </c>
      <c r="AV47" s="7">
        <v>14.814519709999985</v>
      </c>
      <c r="AW47" s="7">
        <v>15.194761579999998</v>
      </c>
      <c r="AX47" s="7">
        <v>18.587312760000003</v>
      </c>
      <c r="AY47" s="7">
        <v>20.280377060000006</v>
      </c>
      <c r="AZ47" s="7">
        <v>21.512174269999996</v>
      </c>
      <c r="BA47" s="7">
        <v>23.033618660000002</v>
      </c>
      <c r="BB47" s="7">
        <v>22.694546469999992</v>
      </c>
    </row>
    <row r="48" spans="1:54">
      <c r="A48" s="53">
        <v>7</v>
      </c>
      <c r="B48" s="5" t="s">
        <v>200</v>
      </c>
      <c r="C48" s="7">
        <f t="shared" si="24"/>
        <v>8.7138176699999974</v>
      </c>
      <c r="D48" s="7">
        <f>HLOOKUP($D$42,$H$42:$BH$67,$G48,FALSE)</f>
        <v>2.2228687699999998</v>
      </c>
      <c r="E48" s="32">
        <f t="shared" si="31"/>
        <v>-0.74490299726457321</v>
      </c>
      <c r="G48" s="53">
        <f t="shared" si="23"/>
        <v>7</v>
      </c>
      <c r="H48" s="5" t="s">
        <v>210</v>
      </c>
      <c r="I48" s="7"/>
      <c r="J48" s="7"/>
      <c r="K48" s="7"/>
      <c r="L48" s="7"/>
      <c r="M48" s="7"/>
      <c r="N48" s="7"/>
      <c r="O48" s="7"/>
      <c r="P48" s="7"/>
      <c r="Q48" s="7">
        <v>8.5953532900000003</v>
      </c>
      <c r="R48" s="7">
        <v>6.4017951300000009</v>
      </c>
      <c r="S48" s="7">
        <v>5.7872665799999998</v>
      </c>
      <c r="T48" s="7">
        <v>16.955132990000003</v>
      </c>
      <c r="U48" s="7">
        <v>1.47052644</v>
      </c>
      <c r="V48" s="7">
        <v>3.6616426599999996</v>
      </c>
      <c r="W48" s="7">
        <v>5.7423679999999999</v>
      </c>
      <c r="X48" s="7">
        <v>2.3145004</v>
      </c>
      <c r="Y48" s="7">
        <v>1.47969777</v>
      </c>
      <c r="Z48" s="7">
        <v>3.3943515400000002</v>
      </c>
      <c r="AA48" s="7">
        <v>6.4587246999999994</v>
      </c>
      <c r="AB48" s="7">
        <v>6.2914542299999994</v>
      </c>
      <c r="AC48" s="7">
        <v>4.83443925</v>
      </c>
      <c r="AD48" s="7">
        <v>4.7913998300000005</v>
      </c>
      <c r="AE48" s="7">
        <v>7.3000909399999996</v>
      </c>
      <c r="AF48" s="7">
        <v>3.0115666299999999</v>
      </c>
      <c r="AG48" s="7">
        <v>1.6580831100000002</v>
      </c>
      <c r="AH48" s="7">
        <v>3.9147359100000001</v>
      </c>
      <c r="AI48" s="7">
        <v>8.1863365100000003</v>
      </c>
      <c r="AJ48" s="7">
        <v>9.1388253099999996</v>
      </c>
      <c r="AK48" s="7">
        <v>2.5091850400000002</v>
      </c>
      <c r="AL48" s="7">
        <v>6.7028850899999988</v>
      </c>
      <c r="AM48" s="7">
        <v>18.628417160000001</v>
      </c>
      <c r="AN48" s="7">
        <v>10.470758520000004</v>
      </c>
      <c r="AO48" s="7">
        <v>9.6457732699999994</v>
      </c>
      <c r="AP48" s="7">
        <v>10.922443899999998</v>
      </c>
      <c r="AQ48" s="7">
        <v>16.989999999999998</v>
      </c>
      <c r="AR48" s="7">
        <v>39.128817650000016</v>
      </c>
      <c r="AS48" s="7">
        <v>1.8207082800000001</v>
      </c>
      <c r="AT48" s="7">
        <v>3.0821299999999052E-3</v>
      </c>
      <c r="AU48" s="7">
        <v>50.08581753</v>
      </c>
      <c r="AV48" s="7">
        <v>5.917764819999995</v>
      </c>
      <c r="AW48" s="7">
        <v>8.55179373</v>
      </c>
      <c r="AX48" s="7">
        <v>8.7138176699999974</v>
      </c>
      <c r="AY48" s="7">
        <v>16.682688560000003</v>
      </c>
      <c r="AZ48" s="7">
        <v>9.1091496100000029</v>
      </c>
      <c r="BA48" s="7">
        <v>0.52931481000000002</v>
      </c>
      <c r="BB48" s="7">
        <v>2.2228687699999998</v>
      </c>
    </row>
    <row r="49" spans="1:54">
      <c r="A49" s="53">
        <v>8</v>
      </c>
      <c r="B49" s="5" t="s">
        <v>171</v>
      </c>
      <c r="C49" s="83" t="str">
        <f t="shared" si="24"/>
        <v>-</v>
      </c>
      <c r="D49" s="83" t="str">
        <f t="shared" si="25"/>
        <v>-</v>
      </c>
      <c r="E49" s="44" t="s">
        <v>148</v>
      </c>
      <c r="G49" s="53">
        <f t="shared" si="23"/>
        <v>8</v>
      </c>
      <c r="H49" s="5" t="s">
        <v>171</v>
      </c>
      <c r="I49" s="7"/>
      <c r="J49" s="7"/>
      <c r="K49" s="7"/>
      <c r="L49" s="7"/>
      <c r="M49" s="7"/>
      <c r="N49" s="7"/>
      <c r="O49" s="7"/>
      <c r="P49" s="7"/>
      <c r="Q49" s="7">
        <v>8.9279890099999992</v>
      </c>
      <c r="R49" s="7">
        <v>12.502251830000001</v>
      </c>
      <c r="S49" s="7">
        <v>8.4584802499999991</v>
      </c>
      <c r="T49" s="7">
        <v>10.021971669999997</v>
      </c>
      <c r="U49" s="7">
        <v>10.59247901</v>
      </c>
      <c r="V49" s="7">
        <v>8.9588192499999995</v>
      </c>
      <c r="W49" s="7">
        <v>10.080884190000001</v>
      </c>
      <c r="X49" s="7">
        <v>11.61420582</v>
      </c>
      <c r="Y49" s="7">
        <v>12.948201429999999</v>
      </c>
      <c r="Z49" s="7">
        <v>10.965700719999999</v>
      </c>
      <c r="AA49" s="7">
        <v>0</v>
      </c>
      <c r="AB49" s="7"/>
      <c r="AC49" s="7"/>
      <c r="AD49" s="7"/>
      <c r="AE49" s="7"/>
      <c r="AF49" s="55">
        <v>0</v>
      </c>
      <c r="AG49" s="55">
        <v>0</v>
      </c>
      <c r="AH49" s="55"/>
      <c r="AI49" s="55"/>
      <c r="AJ49" s="55"/>
      <c r="AK49" s="55">
        <v>0</v>
      </c>
      <c r="AL49" s="55">
        <v>0</v>
      </c>
      <c r="AM49" s="55">
        <v>0</v>
      </c>
      <c r="AN49" s="55">
        <v>0</v>
      </c>
      <c r="AO49" s="55">
        <v>0</v>
      </c>
      <c r="AP49" s="55">
        <v>0</v>
      </c>
      <c r="AQ49" s="55">
        <v>0</v>
      </c>
      <c r="AR49" s="55">
        <v>0</v>
      </c>
      <c r="AS49" s="55">
        <v>0</v>
      </c>
      <c r="AT49" s="83" t="s">
        <v>148</v>
      </c>
      <c r="AU49" s="83" t="s">
        <v>148</v>
      </c>
      <c r="AV49" s="83">
        <v>0</v>
      </c>
      <c r="AW49" s="83">
        <v>0</v>
      </c>
      <c r="AX49" s="83" t="s">
        <v>148</v>
      </c>
      <c r="AY49" s="83" t="s">
        <v>148</v>
      </c>
      <c r="AZ49" s="83" t="s">
        <v>148</v>
      </c>
      <c r="BA49" s="83" t="s">
        <v>148</v>
      </c>
      <c r="BB49" s="83" t="s">
        <v>148</v>
      </c>
    </row>
    <row r="50" spans="1:54">
      <c r="A50" s="53">
        <v>9</v>
      </c>
      <c r="B50" s="5" t="s">
        <v>169</v>
      </c>
      <c r="C50" s="7">
        <f t="shared" si="24"/>
        <v>3.55255666</v>
      </c>
      <c r="D50" s="7">
        <f t="shared" si="25"/>
        <v>3.4348693800000003</v>
      </c>
      <c r="E50" s="44" t="s">
        <v>148</v>
      </c>
      <c r="G50" s="53">
        <f t="shared" si="23"/>
        <v>9</v>
      </c>
      <c r="H50" s="5" t="s">
        <v>169</v>
      </c>
      <c r="I50" s="7"/>
      <c r="J50" s="7"/>
      <c r="K50" s="7"/>
      <c r="L50" s="7"/>
      <c r="M50" s="7"/>
      <c r="N50" s="7"/>
      <c r="O50" s="7"/>
      <c r="P50" s="7"/>
      <c r="Q50" s="7">
        <v>0</v>
      </c>
      <c r="R50" s="7">
        <v>0.32050534999999997</v>
      </c>
      <c r="S50" s="7">
        <v>0.33584750000000002</v>
      </c>
      <c r="T50" s="7">
        <v>0.42434328000000004</v>
      </c>
      <c r="U50" s="7">
        <v>1.1639716200000001</v>
      </c>
      <c r="V50" s="7">
        <v>1.3378961200000001</v>
      </c>
      <c r="W50" s="7">
        <v>1.0226925</v>
      </c>
      <c r="X50" s="7">
        <v>1.0522840800000002</v>
      </c>
      <c r="Y50" s="7">
        <v>1.399381</v>
      </c>
      <c r="Z50" s="7">
        <v>1.0546456599999998</v>
      </c>
      <c r="AA50" s="7">
        <v>1.3926219000000002</v>
      </c>
      <c r="AB50" s="7">
        <v>1.1405105</v>
      </c>
      <c r="AC50" s="7">
        <v>1.1900814900000001</v>
      </c>
      <c r="AD50" s="7">
        <v>1.02013865</v>
      </c>
      <c r="AE50" s="7">
        <v>1.58366882</v>
      </c>
      <c r="AF50" s="7">
        <v>7.2286734200000007</v>
      </c>
      <c r="AG50" s="7">
        <v>1.27964955</v>
      </c>
      <c r="AH50" s="7">
        <v>1.45397997</v>
      </c>
      <c r="AI50" s="7">
        <v>1.36260826</v>
      </c>
      <c r="AJ50" s="7">
        <v>1.51997019</v>
      </c>
      <c r="AK50" s="7">
        <v>1.49566376</v>
      </c>
      <c r="AL50" s="7">
        <v>1.2453530300000002</v>
      </c>
      <c r="AM50" s="7">
        <v>1.1765476799999999</v>
      </c>
      <c r="AN50" s="7">
        <v>1.76759724</v>
      </c>
      <c r="AO50" s="7">
        <v>4.1252905799999997</v>
      </c>
      <c r="AP50" s="7">
        <v>1.7627605000000006</v>
      </c>
      <c r="AQ50" s="7">
        <v>1.28</v>
      </c>
      <c r="AR50" s="7">
        <v>1.76302117</v>
      </c>
      <c r="AS50" s="7">
        <v>2.2445231699999999</v>
      </c>
      <c r="AT50" s="7">
        <v>3.3546350399999998</v>
      </c>
      <c r="AU50" s="7">
        <v>1.8800605500000005</v>
      </c>
      <c r="AV50" s="7">
        <v>1.1234187000000002</v>
      </c>
      <c r="AW50" s="7">
        <v>3.37976009</v>
      </c>
      <c r="AX50" s="7">
        <v>3.55255666</v>
      </c>
      <c r="AY50" s="7">
        <v>1.2431347700000015</v>
      </c>
      <c r="AZ50" s="7">
        <v>4.1677641499999982</v>
      </c>
      <c r="BA50" s="7">
        <v>4.3289816299999995</v>
      </c>
      <c r="BB50" s="7">
        <v>3.4348693800000003</v>
      </c>
    </row>
    <row r="51" spans="1:54" ht="4.5" customHeight="1">
      <c r="A51" s="53">
        <v>10</v>
      </c>
      <c r="G51" s="53">
        <f t="shared" si="23"/>
        <v>10</v>
      </c>
    </row>
    <row r="52" spans="1:54">
      <c r="A52" s="53">
        <v>11</v>
      </c>
      <c r="B52" s="92" t="s">
        <v>201</v>
      </c>
      <c r="C52" s="93">
        <f t="shared" ref="C52:C57" si="32">HLOOKUP($C$42,$H$42:$BH$67,$G52,FALSE)</f>
        <v>-28.18843378</v>
      </c>
      <c r="D52" s="93">
        <f t="shared" ref="D52:D57" si="33">HLOOKUP($D$42,$H$42:$BH$67,$G52,FALSE)</f>
        <v>-31.987941579999998</v>
      </c>
      <c r="E52" s="97">
        <f>D52/C52-1</f>
        <v>0.13478960305683207</v>
      </c>
      <c r="G52" s="53">
        <f t="shared" si="23"/>
        <v>11</v>
      </c>
      <c r="H52" s="92" t="s">
        <v>201</v>
      </c>
      <c r="I52" s="98"/>
      <c r="J52" s="98"/>
      <c r="K52" s="98"/>
      <c r="L52" s="98"/>
      <c r="M52" s="98"/>
      <c r="N52" s="98"/>
      <c r="O52" s="98"/>
      <c r="P52" s="98"/>
      <c r="Q52" s="93">
        <f t="shared" ref="Q52:X52" si="34">SUM(Q53:Q57)</f>
        <v>-32.306038980000004</v>
      </c>
      <c r="R52" s="93">
        <f t="shared" si="34"/>
        <v>-41.795531619999998</v>
      </c>
      <c r="S52" s="93">
        <f t="shared" si="34"/>
        <v>-30.759452379999999</v>
      </c>
      <c r="T52" s="93">
        <f t="shared" si="34"/>
        <v>-39.480105159999994</v>
      </c>
      <c r="U52" s="93">
        <f t="shared" si="34"/>
        <v>-34.353933659999996</v>
      </c>
      <c r="V52" s="93">
        <f t="shared" si="34"/>
        <v>-33.9733351</v>
      </c>
      <c r="W52" s="93">
        <f t="shared" si="34"/>
        <v>-35.661452799999999</v>
      </c>
      <c r="X52" s="93">
        <f t="shared" si="34"/>
        <v>-37.405603590000005</v>
      </c>
      <c r="Y52" s="93">
        <f t="shared" ref="Y52:AE52" si="35">SUM(Y53:Y57)</f>
        <v>-40.773118190000005</v>
      </c>
      <c r="Z52" s="93">
        <f t="shared" si="35"/>
        <v>-37.811925799999997</v>
      </c>
      <c r="AA52" s="93">
        <f t="shared" si="35"/>
        <v>-30.209554599999997</v>
      </c>
      <c r="AB52" s="93">
        <f>+SUM(AB53:AB57)</f>
        <v>-28.78228824</v>
      </c>
      <c r="AC52" s="93">
        <f t="shared" si="35"/>
        <v>-23.492882950000002</v>
      </c>
      <c r="AD52" s="93">
        <f t="shared" si="35"/>
        <v>-20.57628506</v>
      </c>
      <c r="AE52" s="93">
        <f t="shared" si="35"/>
        <v>-26.275369099999999</v>
      </c>
      <c r="AF52" s="93">
        <f t="shared" ref="AF52:AO52" si="36">SUM(AF53:AF57)</f>
        <v>-25.377440749999998</v>
      </c>
      <c r="AG52" s="93">
        <f t="shared" si="36"/>
        <v>-15.04848601</v>
      </c>
      <c r="AH52" s="93">
        <f t="shared" si="36"/>
        <v>-19.82229126</v>
      </c>
      <c r="AI52" s="93">
        <f t="shared" si="36"/>
        <v>-24.184998679999996</v>
      </c>
      <c r="AJ52" s="93">
        <f t="shared" si="36"/>
        <v>-25.542623639999995</v>
      </c>
      <c r="AK52" s="93">
        <f t="shared" si="36"/>
        <v>-17.433526780000001</v>
      </c>
      <c r="AL52" s="93">
        <f t="shared" si="36"/>
        <v>-22.079148879999995</v>
      </c>
      <c r="AM52" s="93">
        <f t="shared" si="36"/>
        <v>-25.808040840000004</v>
      </c>
      <c r="AN52" s="93">
        <f t="shared" si="36"/>
        <v>-23.148096080000023</v>
      </c>
      <c r="AO52" s="93">
        <f t="shared" si="36"/>
        <v>-25.704476410000002</v>
      </c>
      <c r="AP52" s="93">
        <f t="shared" ref="AP52:AR52" si="37">SUM(AP53:AP57)</f>
        <v>-27.852227609999996</v>
      </c>
      <c r="AQ52" s="93">
        <f t="shared" si="37"/>
        <v>-30.58</v>
      </c>
      <c r="AR52" s="93">
        <f t="shared" si="37"/>
        <v>-46.144247429999979</v>
      </c>
      <c r="AS52" s="93">
        <v>-29.944832589999997</v>
      </c>
      <c r="AT52" s="93">
        <v>-59.333584059999993</v>
      </c>
      <c r="AU52" s="93">
        <v>-72.648754730000036</v>
      </c>
      <c r="AV52" s="93">
        <v>-33.400281579999984</v>
      </c>
      <c r="AW52" s="93">
        <f>SUM(AW53:AW57)</f>
        <v>-28.531815300000002</v>
      </c>
      <c r="AX52" s="93">
        <f>SUM(AX53:AX57)</f>
        <v>-28.18843378</v>
      </c>
      <c r="AY52" s="93">
        <f>SUM(AY53:AY57)</f>
        <v>-32.037444769999986</v>
      </c>
      <c r="AZ52" s="93">
        <f>SUM(AZ53:AZ57)</f>
        <v>-28.941861900000013</v>
      </c>
      <c r="BA52" s="93">
        <f t="shared" ref="BA52:BB52" si="38">SUM(BA53:BA57)</f>
        <v>-29.382111589999997</v>
      </c>
      <c r="BB52" s="93">
        <f t="shared" si="38"/>
        <v>-31.987941579999998</v>
      </c>
    </row>
    <row r="53" spans="1:54">
      <c r="A53" s="53">
        <v>12</v>
      </c>
      <c r="B53" s="5" t="s">
        <v>171</v>
      </c>
      <c r="C53" s="40">
        <f t="shared" si="32"/>
        <v>-1.1802191899999999</v>
      </c>
      <c r="D53" s="40">
        <f t="shared" si="33"/>
        <v>-1.1835470299999997</v>
      </c>
      <c r="E53" s="32">
        <f t="shared" ref="E53:E57" si="39">D53/C53-1</f>
        <v>2.8196796223927123E-3</v>
      </c>
      <c r="G53" s="53">
        <f t="shared" si="23"/>
        <v>12</v>
      </c>
      <c r="H53" s="5" t="s">
        <v>171</v>
      </c>
      <c r="I53" s="7"/>
      <c r="J53" s="7"/>
      <c r="K53" s="7"/>
      <c r="L53" s="7"/>
      <c r="M53" s="7"/>
      <c r="N53" s="7"/>
      <c r="O53" s="7"/>
      <c r="P53" s="7"/>
      <c r="Q53" s="40">
        <v>-8.6869376099999993</v>
      </c>
      <c r="R53" s="40">
        <v>-10.98468411</v>
      </c>
      <c r="S53" s="40">
        <v>-7.5221053799999993</v>
      </c>
      <c r="T53" s="40">
        <v>-8.4976941799999999</v>
      </c>
      <c r="U53" s="40">
        <v>-8.7930702800000002</v>
      </c>
      <c r="V53" s="40">
        <v>-8.4213767199999996</v>
      </c>
      <c r="W53" s="40">
        <v>-9.6291035800000007</v>
      </c>
      <c r="X53" s="40">
        <v>-10.23718113</v>
      </c>
      <c r="Y53" s="40">
        <v>-10.758186589999999</v>
      </c>
      <c r="Z53" s="40">
        <v>-10.957769000000001</v>
      </c>
      <c r="AA53" s="40">
        <v>-0.66157777000000095</v>
      </c>
      <c r="AB53" s="40"/>
      <c r="AC53" s="40">
        <v>-0.49616329999999997</v>
      </c>
      <c r="AD53" s="40">
        <v>-0.73033623999999997</v>
      </c>
      <c r="AE53" s="40">
        <v>-1.3071812600000001</v>
      </c>
      <c r="AF53" s="40">
        <v>-0.91939967999999994</v>
      </c>
      <c r="AG53" s="40">
        <v>-0.7</v>
      </c>
      <c r="AH53" s="40">
        <v>-2.2193861799999999</v>
      </c>
      <c r="AI53" s="40">
        <v>-1.2449280699999998</v>
      </c>
      <c r="AJ53" s="40">
        <v>-1.1551104400000001</v>
      </c>
      <c r="AK53" s="40">
        <v>-0.42041494000000001</v>
      </c>
      <c r="AL53" s="40">
        <v>-1.3291058100000002</v>
      </c>
      <c r="AM53" s="40">
        <v>-1.4726724600000001</v>
      </c>
      <c r="AN53" s="40">
        <v>-1.450856120000001</v>
      </c>
      <c r="AO53" s="40">
        <v>-1.7283915600000002</v>
      </c>
      <c r="AP53" s="40">
        <v>-1.42084948</v>
      </c>
      <c r="AQ53" s="40">
        <v>-1.32</v>
      </c>
      <c r="AR53" s="40">
        <v>-1.5175163499999991</v>
      </c>
      <c r="AS53" s="40">
        <v>-1.01663426</v>
      </c>
      <c r="AT53" s="40">
        <v>-0.80572697000000004</v>
      </c>
      <c r="AU53" s="40">
        <v>-1.5422476599999999</v>
      </c>
      <c r="AV53" s="40">
        <v>-1.2958125899999999</v>
      </c>
      <c r="AW53" s="40">
        <v>-1.3168588799999998</v>
      </c>
      <c r="AX53" s="40">
        <v>-1.1802191899999999</v>
      </c>
      <c r="AY53" s="40">
        <v>-1.7693163700000003</v>
      </c>
      <c r="AZ53" s="40">
        <v>-1.3111070600000003</v>
      </c>
      <c r="BA53" s="40">
        <v>-1.00700923</v>
      </c>
      <c r="BB53" s="40">
        <v>-1.1835470299999997</v>
      </c>
    </row>
    <row r="54" spans="1:54">
      <c r="A54" s="53">
        <v>13</v>
      </c>
      <c r="B54" s="5" t="s">
        <v>172</v>
      </c>
      <c r="C54" s="40">
        <f t="shared" si="32"/>
        <v>-0.56569513999999987</v>
      </c>
      <c r="D54" s="40">
        <f t="shared" si="33"/>
        <v>-5.7881568300000001</v>
      </c>
      <c r="E54" s="44" t="s">
        <v>148</v>
      </c>
      <c r="G54" s="53">
        <f t="shared" si="23"/>
        <v>13</v>
      </c>
      <c r="H54" s="5" t="s">
        <v>172</v>
      </c>
      <c r="I54" s="7"/>
      <c r="J54" s="7"/>
      <c r="K54" s="7"/>
      <c r="L54" s="7"/>
      <c r="M54" s="7"/>
      <c r="N54" s="7"/>
      <c r="O54" s="7"/>
      <c r="P54" s="7"/>
      <c r="Q54" s="40">
        <v>-2.4822059000000003</v>
      </c>
      <c r="R54" s="40">
        <v>-8.7254282500000002</v>
      </c>
      <c r="S54" s="40">
        <v>-3.1551651900000004</v>
      </c>
      <c r="T54" s="40">
        <v>-1.36595606</v>
      </c>
      <c r="U54" s="40">
        <v>-2.8579380299999997</v>
      </c>
      <c r="V54" s="40">
        <v>-1.42054E-2</v>
      </c>
      <c r="W54" s="40">
        <v>-0.14726351999999998</v>
      </c>
      <c r="X54" s="40">
        <v>-1.8561880000000003E-2</v>
      </c>
      <c r="Y54" s="40">
        <v>-6.3891180600000004</v>
      </c>
      <c r="Z54" s="40">
        <v>-1.296899E-2</v>
      </c>
      <c r="AA54" s="40">
        <v>-0.13729293999999997</v>
      </c>
      <c r="AB54" s="40">
        <v>-3.7507E-3</v>
      </c>
      <c r="AC54" s="40">
        <v>-0.27191003000000002</v>
      </c>
      <c r="AD54" s="40">
        <v>-0.36717951000000004</v>
      </c>
      <c r="AE54" s="40">
        <v>0</v>
      </c>
      <c r="AF54" s="40">
        <v>-0.34991742999999997</v>
      </c>
      <c r="AG54" s="40">
        <v>-1.3</v>
      </c>
      <c r="AH54" s="40">
        <v>-0.48811054999999998</v>
      </c>
      <c r="AI54" s="40">
        <v>-5.9718210000000001E-2</v>
      </c>
      <c r="AJ54" s="40">
        <v>-1.2861E-4</v>
      </c>
      <c r="AK54" s="40">
        <v>-0.38486635999999996</v>
      </c>
      <c r="AL54" s="40">
        <v>-0.80649880999999979</v>
      </c>
      <c r="AM54" s="40">
        <v>-0.45685123999999999</v>
      </c>
      <c r="AN54" s="40">
        <v>-0.10758014000000027</v>
      </c>
      <c r="AO54" s="40">
        <v>-3.98073E-3</v>
      </c>
      <c r="AP54" s="40">
        <v>-2.1264916600000001</v>
      </c>
      <c r="AQ54" s="40">
        <v>-1.25</v>
      </c>
      <c r="AR54" s="40">
        <v>-13.684449099999998</v>
      </c>
      <c r="AS54" s="40">
        <v>-1.6568624199999999</v>
      </c>
      <c r="AT54" s="40">
        <v>-37.991961079999996</v>
      </c>
      <c r="AU54" s="40">
        <v>-32.808770050000021</v>
      </c>
      <c r="AV54" s="40">
        <v>-4.9519673399999817</v>
      </c>
      <c r="AW54" s="40">
        <v>-1.3389736500000002</v>
      </c>
      <c r="AX54" s="40">
        <v>-0.56569513999999987</v>
      </c>
      <c r="AY54" s="40">
        <v>-1.2038519999999941E-2</v>
      </c>
      <c r="AZ54" s="40">
        <v>-3.2926620000000018E-2</v>
      </c>
      <c r="BA54" s="40">
        <v>-2.1708665200000001</v>
      </c>
      <c r="BB54" s="40">
        <v>-5.7881568300000001</v>
      </c>
    </row>
    <row r="55" spans="1:54">
      <c r="A55" s="53">
        <v>14</v>
      </c>
      <c r="B55" s="5" t="s">
        <v>173</v>
      </c>
      <c r="C55" s="40">
        <f t="shared" si="32"/>
        <v>-23.87439603</v>
      </c>
      <c r="D55" s="40">
        <f t="shared" si="33"/>
        <v>-21.536889700000003</v>
      </c>
      <c r="E55" s="32">
        <f t="shared" si="39"/>
        <v>-9.7908501101462098E-2</v>
      </c>
      <c r="F55" s="48"/>
      <c r="G55" s="53">
        <f t="shared" si="23"/>
        <v>14</v>
      </c>
      <c r="H55" s="5" t="s">
        <v>173</v>
      </c>
      <c r="I55" s="7"/>
      <c r="J55" s="7"/>
      <c r="K55" s="7"/>
      <c r="L55" s="7"/>
      <c r="M55" s="7"/>
      <c r="N55" s="7"/>
      <c r="O55" s="7"/>
      <c r="P55" s="7"/>
      <c r="Q55" s="40">
        <v>-16.863124360000004</v>
      </c>
      <c r="R55" s="40">
        <v>-19.939320459999998</v>
      </c>
      <c r="S55" s="40">
        <v>-17.725214960000002</v>
      </c>
      <c r="T55" s="40">
        <v>-28.326226259999999</v>
      </c>
      <c r="U55" s="40">
        <v>-20.05521062</v>
      </c>
      <c r="V55" s="40">
        <v>-23.011494200000001</v>
      </c>
      <c r="W55" s="40">
        <v>-24.285353650000001</v>
      </c>
      <c r="X55" s="40">
        <v>-24.371911540000003</v>
      </c>
      <c r="Y55" s="40">
        <v>-18.965294759999999</v>
      </c>
      <c r="Z55" s="40">
        <v>-23.6114715</v>
      </c>
      <c r="AA55" s="40">
        <v>-24.548299199999999</v>
      </c>
      <c r="AB55" s="40">
        <v>-25.285733</v>
      </c>
      <c r="AC55" s="40">
        <v>-19.612186380000001</v>
      </c>
      <c r="AD55" s="40">
        <v>-16.17645731</v>
      </c>
      <c r="AE55" s="40">
        <v>-22.237171629999999</v>
      </c>
      <c r="AF55" s="40">
        <v>-20.756213280000001</v>
      </c>
      <c r="AG55" s="40">
        <v>-11.1</v>
      </c>
      <c r="AH55" s="40">
        <v>-14.580119980000001</v>
      </c>
      <c r="AI55" s="40">
        <v>-20.636345499999997</v>
      </c>
      <c r="AJ55" s="40">
        <v>-19.569473139999999</v>
      </c>
      <c r="AK55" s="40">
        <v>-15.12824548</v>
      </c>
      <c r="AL55" s="40">
        <v>-17.254955880000001</v>
      </c>
      <c r="AM55" s="40">
        <v>-21.71192946</v>
      </c>
      <c r="AN55" s="40">
        <v>-19.526062860000014</v>
      </c>
      <c r="AO55" s="40">
        <v>-21.88420558</v>
      </c>
      <c r="AP55" s="40">
        <v>-22.164677079999997</v>
      </c>
      <c r="AQ55" s="40">
        <v>-25.5</v>
      </c>
      <c r="AR55" s="40">
        <v>-25.822281979999985</v>
      </c>
      <c r="AS55" s="40">
        <v>-24.293511609999999</v>
      </c>
      <c r="AT55" s="40">
        <v>-16.40986096</v>
      </c>
      <c r="AU55" s="40">
        <v>-26.612560300000016</v>
      </c>
      <c r="AV55" s="40">
        <v>-23.998477999999988</v>
      </c>
      <c r="AW55" s="40">
        <v>-23.003694660000001</v>
      </c>
      <c r="AX55" s="40">
        <v>-23.87439603</v>
      </c>
      <c r="AY55" s="40">
        <v>-28.268568559999999</v>
      </c>
      <c r="AZ55" s="40">
        <v>-25.360265210000016</v>
      </c>
      <c r="BA55" s="40">
        <v>-23.575911009999999</v>
      </c>
      <c r="BB55" s="40">
        <v>-21.536889700000003</v>
      </c>
    </row>
    <row r="56" spans="1:54">
      <c r="A56" s="53">
        <v>15</v>
      </c>
      <c r="B56" s="5" t="s">
        <v>174</v>
      </c>
      <c r="C56" s="60" t="str">
        <f t="shared" si="32"/>
        <v>-</v>
      </c>
      <c r="D56" s="40">
        <f t="shared" si="33"/>
        <v>-4.3639509999999999E-2</v>
      </c>
      <c r="E56" s="44" t="s">
        <v>148</v>
      </c>
      <c r="G56" s="53">
        <f t="shared" si="23"/>
        <v>15</v>
      </c>
      <c r="H56" s="5" t="s">
        <v>174</v>
      </c>
      <c r="I56" s="7"/>
      <c r="J56" s="7"/>
      <c r="K56" s="7"/>
      <c r="L56" s="7"/>
      <c r="M56" s="7"/>
      <c r="N56" s="7"/>
      <c r="O56" s="7"/>
      <c r="P56" s="7"/>
      <c r="Q56" s="40"/>
      <c r="R56" s="40"/>
      <c r="S56" s="40"/>
      <c r="T56" s="40"/>
      <c r="U56" s="40"/>
      <c r="V56" s="40"/>
      <c r="W56" s="40"/>
      <c r="X56" s="40"/>
      <c r="Y56" s="40"/>
      <c r="Z56" s="40"/>
      <c r="AA56" s="40">
        <v>-1.3596464999999998</v>
      </c>
      <c r="AB56" s="40">
        <v>0</v>
      </c>
      <c r="AC56" s="40">
        <v>0</v>
      </c>
      <c r="AD56" s="40">
        <v>0</v>
      </c>
      <c r="AE56" s="40">
        <v>0</v>
      </c>
      <c r="AF56" s="40">
        <v>0</v>
      </c>
      <c r="AG56" s="40">
        <v>0</v>
      </c>
      <c r="AH56" s="40">
        <v>0</v>
      </c>
      <c r="AI56" s="40">
        <v>0</v>
      </c>
      <c r="AJ56" s="40">
        <v>-0.91938023999999996</v>
      </c>
      <c r="AK56" s="40">
        <v>0</v>
      </c>
      <c r="AL56" s="40">
        <v>-0.27632070000000003</v>
      </c>
      <c r="AM56" s="60">
        <v>0</v>
      </c>
      <c r="AN56" s="60">
        <v>0</v>
      </c>
      <c r="AO56" s="60">
        <v>0</v>
      </c>
      <c r="AP56" s="60">
        <v>-3.5201690000000001E-2</v>
      </c>
      <c r="AQ56" s="60">
        <v>0</v>
      </c>
      <c r="AR56" s="60">
        <v>0</v>
      </c>
      <c r="AS56" s="60">
        <v>0</v>
      </c>
      <c r="AT56" s="60" t="s">
        <v>148</v>
      </c>
      <c r="AU56" s="60">
        <v>-3.37775392</v>
      </c>
      <c r="AV56" s="60">
        <v>1.9641400000001141E-3</v>
      </c>
      <c r="AW56" s="60">
        <v>-2.3849499999999999E-2</v>
      </c>
      <c r="AX56" s="60" t="s">
        <v>148</v>
      </c>
      <c r="AY56" s="60">
        <v>0</v>
      </c>
      <c r="AZ56" s="60">
        <v>0</v>
      </c>
      <c r="BA56" s="60">
        <v>0</v>
      </c>
      <c r="BB56" s="60">
        <v>-4.3639509999999999E-2</v>
      </c>
    </row>
    <row r="57" spans="1:54">
      <c r="A57" s="53">
        <v>16</v>
      </c>
      <c r="B57" s="5" t="s">
        <v>202</v>
      </c>
      <c r="C57" s="40">
        <f t="shared" si="32"/>
        <v>-2.568123420000004</v>
      </c>
      <c r="D57" s="40">
        <f t="shared" si="33"/>
        <v>-3.4357085099999978</v>
      </c>
      <c r="E57" s="32">
        <f t="shared" si="39"/>
        <v>0.33782842492826615</v>
      </c>
      <c r="G57" s="53">
        <f t="shared" si="23"/>
        <v>16</v>
      </c>
      <c r="H57" s="5" t="s">
        <v>202</v>
      </c>
      <c r="I57" s="7"/>
      <c r="J57" s="7"/>
      <c r="K57" s="7"/>
      <c r="L57" s="7"/>
      <c r="M57" s="7"/>
      <c r="N57" s="7"/>
      <c r="O57" s="7"/>
      <c r="P57" s="7"/>
      <c r="Q57" s="40">
        <v>-4.2737711100000002</v>
      </c>
      <c r="R57" s="40">
        <v>-2.1460987999999999</v>
      </c>
      <c r="S57" s="40">
        <v>-2.3569668500000001</v>
      </c>
      <c r="T57" s="40">
        <v>-1.2902286600000001</v>
      </c>
      <c r="U57" s="40">
        <v>-2.6477147300000001</v>
      </c>
      <c r="V57" s="40">
        <v>-2.5262587800000005</v>
      </c>
      <c r="W57" s="40">
        <v>-1.5997320500000001</v>
      </c>
      <c r="X57" s="40">
        <v>-2.7779490399999998</v>
      </c>
      <c r="Y57" s="40">
        <v>-4.6605187800000003</v>
      </c>
      <c r="Z57" s="40">
        <v>-3.2297163100000006</v>
      </c>
      <c r="AA57" s="40">
        <v>-3.5027381900000001</v>
      </c>
      <c r="AB57" s="40">
        <v>-3.4928045399999998</v>
      </c>
      <c r="AC57" s="40">
        <v>-3.11262324</v>
      </c>
      <c r="AD57" s="40">
        <v>-3.3023120000000001</v>
      </c>
      <c r="AE57" s="40">
        <v>-2.7310162099999999</v>
      </c>
      <c r="AF57" s="40">
        <v>-3.3519103599999998</v>
      </c>
      <c r="AG57" s="40">
        <v>-1.9484860099999997</v>
      </c>
      <c r="AH57" s="40">
        <v>-2.5346745500000001</v>
      </c>
      <c r="AI57" s="40">
        <v>-2.2440068999999996</v>
      </c>
      <c r="AJ57" s="40">
        <v>-3.8985312099999998</v>
      </c>
      <c r="AK57" s="40">
        <v>-1.5</v>
      </c>
      <c r="AL57" s="40">
        <v>-2.4122676799999958</v>
      </c>
      <c r="AM57" s="40">
        <v>-2.1665876800000046</v>
      </c>
      <c r="AN57" s="40">
        <v>-2.0635969600000101</v>
      </c>
      <c r="AO57" s="40">
        <v>-2.0878985400000003</v>
      </c>
      <c r="AP57" s="40">
        <v>-2.1050076999999972</v>
      </c>
      <c r="AQ57" s="40">
        <v>-2.5099999999999998</v>
      </c>
      <c r="AR57" s="40">
        <v>-5.12</v>
      </c>
      <c r="AS57" s="40">
        <v>-2.9778242999999995</v>
      </c>
      <c r="AT57" s="40">
        <v>-4.1260350499999969</v>
      </c>
      <c r="AU57" s="40">
        <v>-8.3074228000000137</v>
      </c>
      <c r="AV57" s="40">
        <v>-3.155987789999994</v>
      </c>
      <c r="AW57" s="40">
        <v>-2.8484386099999992</v>
      </c>
      <c r="AX57" s="40">
        <v>-2.568123420000004</v>
      </c>
      <c r="AY57" s="40">
        <v>-1.9875213199999906</v>
      </c>
      <c r="AZ57" s="40">
        <v>-2.2375630099999984</v>
      </c>
      <c r="BA57" s="40">
        <v>-2.6283248300000004</v>
      </c>
      <c r="BB57" s="40">
        <v>-3.4357085099999978</v>
      </c>
    </row>
    <row r="58" spans="1:54" ht="4.5" customHeight="1">
      <c r="A58" s="53">
        <v>17</v>
      </c>
      <c r="C58" s="29"/>
      <c r="D58" s="29"/>
      <c r="E58" s="29"/>
      <c r="G58" s="53">
        <f t="shared" si="23"/>
        <v>17</v>
      </c>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row>
    <row r="59" spans="1:54">
      <c r="A59" s="53">
        <v>18</v>
      </c>
      <c r="B59" s="92" t="s">
        <v>203</v>
      </c>
      <c r="C59" s="93">
        <f>HLOOKUP($C$42,$H$42:$BH$67,$G59,FALSE)</f>
        <v>24.877518530000007</v>
      </c>
      <c r="D59" s="93">
        <f>HLOOKUP($D$42,$H$42:$BH$67,$G59,FALSE)</f>
        <v>25.321654949999996</v>
      </c>
      <c r="E59" s="97">
        <f>D59/C59-1</f>
        <v>1.7852922889572076E-2</v>
      </c>
      <c r="G59" s="53">
        <f t="shared" si="23"/>
        <v>18</v>
      </c>
      <c r="H59" s="92" t="s">
        <v>203</v>
      </c>
      <c r="I59" s="98"/>
      <c r="J59" s="98"/>
      <c r="K59" s="98"/>
      <c r="L59" s="98"/>
      <c r="M59" s="98"/>
      <c r="N59" s="98"/>
      <c r="O59" s="98"/>
      <c r="P59" s="98"/>
      <c r="Q59" s="93">
        <f t="shared" ref="Q59:X59" si="40">Q52+Q45</f>
        <v>23.277616519999995</v>
      </c>
      <c r="R59" s="93">
        <f t="shared" si="40"/>
        <v>13.167386780000001</v>
      </c>
      <c r="S59" s="93">
        <f t="shared" si="40"/>
        <v>18.323242480000005</v>
      </c>
      <c r="T59" s="93">
        <f t="shared" si="40"/>
        <v>17.617175820000007</v>
      </c>
      <c r="U59" s="93">
        <f t="shared" si="40"/>
        <v>13.282360160000003</v>
      </c>
      <c r="V59" s="93">
        <f t="shared" si="40"/>
        <v>12.998172359999998</v>
      </c>
      <c r="W59" s="93">
        <f t="shared" si="40"/>
        <v>15.832544459999994</v>
      </c>
      <c r="X59" s="93">
        <f t="shared" si="40"/>
        <v>9.330038100000003</v>
      </c>
      <c r="Y59" s="93">
        <f t="shared" ref="Y59:AE59" si="41">Y52+Y45</f>
        <v>11.899931729999992</v>
      </c>
      <c r="Z59" s="93">
        <f t="shared" si="41"/>
        <v>14.477391430000004</v>
      </c>
      <c r="AA59" s="93">
        <f t="shared" si="41"/>
        <v>9.8756328899999986</v>
      </c>
      <c r="AB59" s="93">
        <f t="shared" si="41"/>
        <v>9.6033398699999992</v>
      </c>
      <c r="AC59" s="93">
        <f t="shared" si="41"/>
        <v>18.467392519999997</v>
      </c>
      <c r="AD59" s="93">
        <f t="shared" si="41"/>
        <v>20.729749330000001</v>
      </c>
      <c r="AE59" s="93">
        <f t="shared" si="41"/>
        <v>17.927874249999995</v>
      </c>
      <c r="AF59" s="93">
        <f t="shared" ref="AF59:AQ59" si="42">AF52+AF45</f>
        <v>21.937408249999997</v>
      </c>
      <c r="AG59" s="93">
        <f t="shared" si="42"/>
        <v>22.633413700000006</v>
      </c>
      <c r="AH59" s="93">
        <f t="shared" si="42"/>
        <v>14.967796610000001</v>
      </c>
      <c r="AI59" s="93">
        <f t="shared" si="42"/>
        <v>18.704558840000001</v>
      </c>
      <c r="AJ59" s="93">
        <f t="shared" si="42"/>
        <v>18.536157810000006</v>
      </c>
      <c r="AK59" s="93">
        <f t="shared" si="42"/>
        <v>20.526024529999994</v>
      </c>
      <c r="AL59" s="93">
        <f t="shared" si="42"/>
        <v>17.786418930000007</v>
      </c>
      <c r="AM59" s="93">
        <f t="shared" si="42"/>
        <v>23.169360609999998</v>
      </c>
      <c r="AN59" s="93">
        <f t="shared" si="42"/>
        <v>21.870470129999973</v>
      </c>
      <c r="AO59" s="93">
        <f t="shared" si="42"/>
        <v>29.414631719999992</v>
      </c>
      <c r="AP59" s="93">
        <f t="shared" ref="AP59:AS59" si="43">AP52+AP45</f>
        <v>25.138693729999996</v>
      </c>
      <c r="AQ59" s="93">
        <f t="shared" si="42"/>
        <v>28.58</v>
      </c>
      <c r="AR59" s="93">
        <f t="shared" si="43"/>
        <v>39.107071750000046</v>
      </c>
      <c r="AS59" s="93">
        <f t="shared" si="43"/>
        <v>29.606268990000011</v>
      </c>
      <c r="AT59" s="93">
        <v>4.3409265100000027</v>
      </c>
      <c r="AU59" s="93">
        <v>53.90371310999997</v>
      </c>
      <c r="AV59" s="93">
        <v>29.056446869999988</v>
      </c>
      <c r="AW59" s="93">
        <f>AW45+AW52</f>
        <v>22.348569359999995</v>
      </c>
      <c r="AX59" s="93">
        <f>AX45+AX52</f>
        <v>24.877518530000007</v>
      </c>
      <c r="AY59" s="93">
        <f>AY45+AY52</f>
        <v>27.689644110000032</v>
      </c>
      <c r="AZ59" s="93">
        <f>AZ45+AZ52</f>
        <v>28.41678191999997</v>
      </c>
      <c r="BA59" s="93">
        <f t="shared" ref="BA59:BB59" si="44">BA45+BA52</f>
        <v>26.996839420000011</v>
      </c>
      <c r="BB59" s="93">
        <f t="shared" si="44"/>
        <v>25.321654949999996</v>
      </c>
    </row>
    <row r="60" spans="1:54" ht="4.5" customHeight="1">
      <c r="A60" s="53">
        <v>19</v>
      </c>
      <c r="C60" s="29"/>
      <c r="D60" s="29"/>
      <c r="E60" s="29"/>
      <c r="G60" s="53">
        <f t="shared" si="23"/>
        <v>19</v>
      </c>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row>
    <row r="61" spans="1:54">
      <c r="A61" s="53">
        <v>20</v>
      </c>
      <c r="B61" s="5" t="s">
        <v>178</v>
      </c>
      <c r="C61" s="40">
        <f>HLOOKUP($C$42,$H$42:$BH$67,$G61,FALSE)</f>
        <v>-2.16</v>
      </c>
      <c r="D61" s="40">
        <f>HLOOKUP($D$42,$H$42:$BH$67,$G61,FALSE)</f>
        <v>-2.7706507500000011</v>
      </c>
      <c r="E61" s="32">
        <f>D61/C61-1</f>
        <v>0.28270868055555587</v>
      </c>
      <c r="F61" s="48"/>
      <c r="G61" s="53">
        <f t="shared" si="23"/>
        <v>20</v>
      </c>
      <c r="H61" s="5" t="s">
        <v>178</v>
      </c>
      <c r="I61" s="7"/>
      <c r="J61" s="7"/>
      <c r="K61" s="7"/>
      <c r="L61" s="7"/>
      <c r="M61" s="7"/>
      <c r="N61" s="7"/>
      <c r="O61" s="7"/>
      <c r="P61" s="7"/>
      <c r="Q61" s="40">
        <v>-1.9020556099999997</v>
      </c>
      <c r="R61" s="40">
        <v>-0.95662959000000014</v>
      </c>
      <c r="S61" s="40">
        <v>-1.38904001</v>
      </c>
      <c r="T61" s="40">
        <v>-1.64653396</v>
      </c>
      <c r="U61" s="40">
        <v>-1.35093598</v>
      </c>
      <c r="V61" s="40">
        <v>-1.4034176600000001</v>
      </c>
      <c r="W61" s="40">
        <v>-1.39107256</v>
      </c>
      <c r="X61" s="40">
        <v>-1.7022323799999999</v>
      </c>
      <c r="Y61" s="40">
        <v>-1.4411471600000001</v>
      </c>
      <c r="Z61" s="40">
        <v>-1.51758236</v>
      </c>
      <c r="AA61" s="40">
        <v>-1.6644289400000001</v>
      </c>
      <c r="AB61" s="40">
        <v>-1.50439375</v>
      </c>
      <c r="AC61" s="40">
        <v>-1.4640062700000001</v>
      </c>
      <c r="AD61" s="40">
        <v>-1.6127271700000001</v>
      </c>
      <c r="AE61" s="40">
        <v>-1.1963248800000001</v>
      </c>
      <c r="AF61" s="40">
        <v>-1.91541703</v>
      </c>
      <c r="AG61" s="40">
        <v>-1.6</v>
      </c>
      <c r="AH61" s="40">
        <v>-1.5261225700000001</v>
      </c>
      <c r="AI61" s="40">
        <v>-1.5336618200000003</v>
      </c>
      <c r="AJ61" s="40">
        <v>-1.5264548799999997</v>
      </c>
      <c r="AK61" s="40">
        <v>-1.84047212</v>
      </c>
      <c r="AL61" s="40">
        <v>-1.4989665900000009</v>
      </c>
      <c r="AM61" s="40">
        <v>-1.5633669299999993</v>
      </c>
      <c r="AN61" s="40">
        <v>-1.4798497800000001</v>
      </c>
      <c r="AO61" s="40">
        <v>-2.6075955300000002</v>
      </c>
      <c r="AP61" s="40">
        <v>-1.6545121499999995</v>
      </c>
      <c r="AQ61" s="40">
        <v>-1.8</v>
      </c>
      <c r="AR61" s="40">
        <v>-2.7767341100000014</v>
      </c>
      <c r="AS61" s="40">
        <v>-2.5182996399999995</v>
      </c>
      <c r="AT61" s="40">
        <v>-2.2287493600000001</v>
      </c>
      <c r="AU61" s="40">
        <v>-2.718582650000001</v>
      </c>
      <c r="AV61" s="40">
        <v>-2.3906201699999965</v>
      </c>
      <c r="AW61" s="40">
        <v>-2.4611371000000002</v>
      </c>
      <c r="AX61" s="40">
        <v>-2.16</v>
      </c>
      <c r="AY61" s="40">
        <v>-2.6320165400000031</v>
      </c>
      <c r="AZ61" s="40">
        <v>-2.575699799999998</v>
      </c>
      <c r="BA61" s="40">
        <v>-2.8313117299999999</v>
      </c>
      <c r="BB61" s="40">
        <v>-2.7706507500000011</v>
      </c>
    </row>
    <row r="62" spans="1:54">
      <c r="A62" s="53">
        <v>21</v>
      </c>
      <c r="B62" s="5" t="s">
        <v>204</v>
      </c>
      <c r="C62" s="40">
        <f>HLOOKUP($C$42,$H$42:$BH$67,$G62,FALSE)</f>
        <v>-1.99</v>
      </c>
      <c r="D62" s="40">
        <f>HLOOKUP($D$42,$H$42:$BH$67,$G62,FALSE)</f>
        <v>-1.9975954399999991</v>
      </c>
      <c r="E62" s="44">
        <f>D62/C62-1</f>
        <v>3.8168040201000952E-3</v>
      </c>
      <c r="G62" s="53">
        <f t="shared" si="23"/>
        <v>21</v>
      </c>
      <c r="H62" s="5" t="s">
        <v>204</v>
      </c>
      <c r="I62" s="7"/>
      <c r="J62" s="7"/>
      <c r="K62" s="7"/>
      <c r="L62" s="7"/>
      <c r="M62" s="7"/>
      <c r="N62" s="7"/>
      <c r="O62" s="7"/>
      <c r="P62" s="7"/>
      <c r="Q62" s="40">
        <v>-4.6529306799999999</v>
      </c>
      <c r="R62" s="40">
        <v>-3.0893527200000004</v>
      </c>
      <c r="S62" s="40">
        <v>-0.84189764999999994</v>
      </c>
      <c r="T62" s="40">
        <v>-1.86806512</v>
      </c>
      <c r="U62" s="40">
        <v>-0.51768802999999997</v>
      </c>
      <c r="V62" s="40">
        <v>-0.68306328000000005</v>
      </c>
      <c r="W62" s="40">
        <v>-0.97182712999999998</v>
      </c>
      <c r="X62" s="40">
        <v>10.162852590000002</v>
      </c>
      <c r="Y62" s="40">
        <v>-0.53674665999999993</v>
      </c>
      <c r="Z62" s="40">
        <v>-0.63847730999999985</v>
      </c>
      <c r="AA62" s="40">
        <v>-0.85316294999999986</v>
      </c>
      <c r="AB62" s="40">
        <v>-1.3746567500000002</v>
      </c>
      <c r="AC62" s="40">
        <v>-0.52620058000000003</v>
      </c>
      <c r="AD62" s="40">
        <v>-0.64479643999999992</v>
      </c>
      <c r="AE62" s="40">
        <v>-0.74230715999999985</v>
      </c>
      <c r="AF62" s="40">
        <v>-1.0305582499999997</v>
      </c>
      <c r="AG62" s="40">
        <v>-1.45151399</v>
      </c>
      <c r="AH62" s="40">
        <v>8.5035019999999961E-2</v>
      </c>
      <c r="AI62" s="40">
        <v>-1.51453455</v>
      </c>
      <c r="AJ62" s="40">
        <v>-0.73680754000000004</v>
      </c>
      <c r="AK62" s="40">
        <v>-1.7515005400000001</v>
      </c>
      <c r="AL62" s="40">
        <v>-1.8322824900000034</v>
      </c>
      <c r="AM62" s="40">
        <v>-1.743260389999995</v>
      </c>
      <c r="AN62" s="40">
        <v>-2.1114044399999914</v>
      </c>
      <c r="AO62" s="40">
        <v>-1.90847655</v>
      </c>
      <c r="AP62" s="40">
        <v>-1.7346318800000025</v>
      </c>
      <c r="AQ62" s="40">
        <v>-2.04</v>
      </c>
      <c r="AR62" s="40">
        <v>-2.58</v>
      </c>
      <c r="AS62" s="40">
        <v>-2.0820181900000003</v>
      </c>
      <c r="AT62" s="40">
        <v>-1.9247170300000018</v>
      </c>
      <c r="AU62" s="40">
        <v>-2.3285413199999887</v>
      </c>
      <c r="AV62" s="40">
        <v>-2.5828295200000024</v>
      </c>
      <c r="AW62" s="40">
        <v>-2.3261712200000009</v>
      </c>
      <c r="AX62" s="40">
        <v>-1.99</v>
      </c>
      <c r="AY62" s="40">
        <v>-2.5253187500000074</v>
      </c>
      <c r="AZ62" s="40">
        <v>-2.5105792600000036</v>
      </c>
      <c r="BA62" s="40">
        <v>-2.3027097900000002</v>
      </c>
      <c r="BB62" s="40">
        <v>-1.9975954399999991</v>
      </c>
    </row>
    <row r="63" spans="1:54">
      <c r="A63" s="53">
        <v>22</v>
      </c>
      <c r="B63" s="5" t="s">
        <v>180</v>
      </c>
      <c r="C63" s="40">
        <f>HLOOKUP($C$42,$H$42:$BH$67,$G63,FALSE)</f>
        <v>-9.0299999999999994</v>
      </c>
      <c r="D63" s="40">
        <f>HLOOKUP($D$42,$H$42:$BH$67,$G63,FALSE)</f>
        <v>-8.871892299999999</v>
      </c>
      <c r="E63" s="32">
        <f t="shared" ref="E63" si="45">D63/C63-1</f>
        <v>-1.7509158361018851E-2</v>
      </c>
      <c r="G63" s="53">
        <f t="shared" si="23"/>
        <v>22</v>
      </c>
      <c r="H63" s="5" t="s">
        <v>180</v>
      </c>
      <c r="I63" s="7"/>
      <c r="J63" s="7"/>
      <c r="K63" s="7"/>
      <c r="L63" s="7"/>
      <c r="M63" s="7"/>
      <c r="N63" s="7"/>
      <c r="O63" s="7"/>
      <c r="P63" s="7"/>
      <c r="Q63" s="40">
        <v>-7.9848667500000001</v>
      </c>
      <c r="R63" s="40">
        <v>-7.9488865200000003</v>
      </c>
      <c r="S63" s="40">
        <v>-7.9521240000000013</v>
      </c>
      <c r="T63" s="40">
        <v>-8.0023987100000014</v>
      </c>
      <c r="U63" s="40">
        <v>-8.0354829599999995</v>
      </c>
      <c r="V63" s="40">
        <v>-8.0330798399999992</v>
      </c>
      <c r="W63" s="40">
        <v>-7.8220839199999972</v>
      </c>
      <c r="X63" s="40">
        <v>-8.3412998900000002</v>
      </c>
      <c r="Y63" s="40">
        <v>-8.1506856200000009</v>
      </c>
      <c r="Z63" s="40">
        <v>-8.2453212299999983</v>
      </c>
      <c r="AA63" s="40">
        <v>-8.2788340199999997</v>
      </c>
      <c r="AB63" s="40">
        <v>-8.5874377700000011</v>
      </c>
      <c r="AC63" s="40">
        <v>-10.861591690000001</v>
      </c>
      <c r="AD63" s="40">
        <v>-11.416930089999997</v>
      </c>
      <c r="AE63" s="40">
        <v>-11.762001100000001</v>
      </c>
      <c r="AF63" s="40">
        <v>-11.893788960000002</v>
      </c>
      <c r="AG63" s="40">
        <v>-11.2</v>
      </c>
      <c r="AH63" s="40">
        <v>-11.47850051</v>
      </c>
      <c r="AI63" s="40">
        <v>-12.182965490000001</v>
      </c>
      <c r="AJ63" s="40">
        <v>-11.69162096</v>
      </c>
      <c r="AK63" s="40">
        <v>-8.9479389499999993</v>
      </c>
      <c r="AL63" s="40">
        <v>-8.7846704900000017</v>
      </c>
      <c r="AM63" s="40">
        <v>-8.78027041</v>
      </c>
      <c r="AN63" s="40">
        <v>-8.9347689600000049</v>
      </c>
      <c r="AO63" s="40">
        <v>-8.8220456100000018</v>
      </c>
      <c r="AP63" s="40">
        <v>-8.8828295999999956</v>
      </c>
      <c r="AQ63" s="40">
        <v>-8.8800000000000008</v>
      </c>
      <c r="AR63" s="40">
        <v>-9.1460913999999978</v>
      </c>
      <c r="AS63" s="40">
        <v>-8.9631001000000001</v>
      </c>
      <c r="AT63" s="40">
        <v>-8.5275508599999998</v>
      </c>
      <c r="AU63" s="40">
        <v>-8.2351071599999965</v>
      </c>
      <c r="AV63" s="40">
        <v>-9.9244432700000136</v>
      </c>
      <c r="AW63" s="40">
        <v>-8.8326947100000002</v>
      </c>
      <c r="AX63" s="40">
        <v>-9.0299999999999994</v>
      </c>
      <c r="AY63" s="40">
        <v>-8.9105429500000053</v>
      </c>
      <c r="AZ63" s="40">
        <v>-8.982303190000005</v>
      </c>
      <c r="BA63" s="40">
        <v>-8.9248723699999992</v>
      </c>
      <c r="BB63" s="40">
        <v>-8.871892299999999</v>
      </c>
    </row>
    <row r="64" spans="1:54" ht="4.5" customHeight="1">
      <c r="A64" s="53">
        <v>23</v>
      </c>
      <c r="C64" s="29"/>
      <c r="D64" s="29"/>
      <c r="E64" s="29"/>
      <c r="G64" s="53">
        <f t="shared" si="23"/>
        <v>23</v>
      </c>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row>
    <row r="65" spans="1:54">
      <c r="A65" s="53">
        <v>24</v>
      </c>
      <c r="B65" s="92" t="s">
        <v>205</v>
      </c>
      <c r="C65" s="93">
        <f>HLOOKUP($C$42,$H$42:$BH$67,$G65,FALSE)</f>
        <v>11.697518530000009</v>
      </c>
      <c r="D65" s="93">
        <f>HLOOKUP($D$42,$H$42:$BH$67,$G65,FALSE)</f>
        <v>11.681516459999997</v>
      </c>
      <c r="E65" s="97">
        <f>D65/C65-1</f>
        <v>-1.3679884292528977E-3</v>
      </c>
      <c r="G65" s="53">
        <f t="shared" si="23"/>
        <v>24</v>
      </c>
      <c r="H65" s="92" t="s">
        <v>205</v>
      </c>
      <c r="I65" s="98"/>
      <c r="J65" s="98"/>
      <c r="K65" s="98"/>
      <c r="L65" s="98"/>
      <c r="M65" s="98"/>
      <c r="N65" s="98"/>
      <c r="O65" s="98"/>
      <c r="P65" s="98"/>
      <c r="Q65" s="93">
        <f t="shared" ref="Q65:BB65" si="46">Q59+Q61+Q62+Q63</f>
        <v>8.7377634799999964</v>
      </c>
      <c r="R65" s="93">
        <f t="shared" si="46"/>
        <v>1.1725179499999996</v>
      </c>
      <c r="S65" s="93">
        <f t="shared" si="46"/>
        <v>8.1401808200000048</v>
      </c>
      <c r="T65" s="93">
        <f t="shared" si="46"/>
        <v>6.1001780300000057</v>
      </c>
      <c r="U65" s="93">
        <f t="shared" si="46"/>
        <v>3.3782531900000041</v>
      </c>
      <c r="V65" s="93">
        <f t="shared" si="46"/>
        <v>2.8786115799999976</v>
      </c>
      <c r="W65" s="93">
        <f t="shared" si="46"/>
        <v>5.6475608499999979</v>
      </c>
      <c r="X65" s="93">
        <f t="shared" si="46"/>
        <v>9.4493584200000047</v>
      </c>
      <c r="Y65" s="93">
        <f t="shared" si="46"/>
        <v>1.7713522899999905</v>
      </c>
      <c r="Z65" s="93">
        <f t="shared" si="46"/>
        <v>4.0760105300000049</v>
      </c>
      <c r="AA65" s="93">
        <f t="shared" si="46"/>
        <v>-0.92079302000000141</v>
      </c>
      <c r="AB65" s="93">
        <f t="shared" si="46"/>
        <v>-1.8631484000000018</v>
      </c>
      <c r="AC65" s="93">
        <f t="shared" si="46"/>
        <v>5.6155939799999963</v>
      </c>
      <c r="AD65" s="93">
        <f t="shared" si="46"/>
        <v>7.0552956300000034</v>
      </c>
      <c r="AE65" s="93">
        <f t="shared" si="46"/>
        <v>4.227241109999996</v>
      </c>
      <c r="AF65" s="93">
        <f t="shared" si="46"/>
        <v>7.0976440099999962</v>
      </c>
      <c r="AG65" s="93">
        <f t="shared" si="46"/>
        <v>8.3818997100000061</v>
      </c>
      <c r="AH65" s="93">
        <f t="shared" si="46"/>
        <v>2.04820855</v>
      </c>
      <c r="AI65" s="93">
        <f t="shared" si="46"/>
        <v>3.4733969800000004</v>
      </c>
      <c r="AJ65" s="93">
        <f t="shared" si="46"/>
        <v>4.5812744300000059</v>
      </c>
      <c r="AK65" s="93">
        <f t="shared" si="46"/>
        <v>7.9861129199999947</v>
      </c>
      <c r="AL65" s="93">
        <f t="shared" si="46"/>
        <v>5.6704993599999991</v>
      </c>
      <c r="AM65" s="93">
        <f t="shared" si="46"/>
        <v>11.082462880000001</v>
      </c>
      <c r="AN65" s="93">
        <f t="shared" si="46"/>
        <v>9.3444469499999787</v>
      </c>
      <c r="AO65" s="93">
        <f t="shared" si="46"/>
        <v>16.076514029999991</v>
      </c>
      <c r="AP65" s="93">
        <f t="shared" si="46"/>
        <v>12.8667201</v>
      </c>
      <c r="AQ65" s="93">
        <f t="shared" si="46"/>
        <v>15.859999999999998</v>
      </c>
      <c r="AR65" s="93">
        <f t="shared" si="46"/>
        <v>24.604246240000052</v>
      </c>
      <c r="AS65" s="93">
        <f t="shared" si="46"/>
        <v>16.042851060000011</v>
      </c>
      <c r="AT65" s="93">
        <f t="shared" si="46"/>
        <v>-8.3400907399999991</v>
      </c>
      <c r="AU65" s="93">
        <f t="shared" si="46"/>
        <v>40.621481979999984</v>
      </c>
      <c r="AV65" s="93">
        <f t="shared" si="46"/>
        <v>14.158553909999972</v>
      </c>
      <c r="AW65" s="93">
        <f t="shared" si="46"/>
        <v>8.7285663299999978</v>
      </c>
      <c r="AX65" s="93">
        <f t="shared" si="46"/>
        <v>11.697518530000009</v>
      </c>
      <c r="AY65" s="93">
        <f t="shared" si="46"/>
        <v>13.621765870000017</v>
      </c>
      <c r="AZ65" s="93">
        <f t="shared" si="46"/>
        <v>14.348199669999962</v>
      </c>
      <c r="BA65" s="93">
        <f t="shared" si="46"/>
        <v>12.937945530000011</v>
      </c>
      <c r="BB65" s="93">
        <f t="shared" si="46"/>
        <v>11.681516459999997</v>
      </c>
    </row>
    <row r="66" spans="1:54" ht="4.5" customHeight="1">
      <c r="A66" s="53">
        <v>25</v>
      </c>
      <c r="B66" s="99"/>
      <c r="C66" s="100">
        <f>HLOOKUP($C$42,$H$42:$BH$67,$G66,FALSE)</f>
        <v>0</v>
      </c>
      <c r="D66" s="100">
        <f>HLOOKUP($D$42,$H$42:$BH$67,$G66,FALSE)</f>
        <v>0</v>
      </c>
      <c r="E66" s="100"/>
      <c r="G66" s="53">
        <f t="shared" si="23"/>
        <v>25</v>
      </c>
      <c r="H66" s="99"/>
      <c r="I66" s="101"/>
      <c r="J66" s="101"/>
      <c r="K66" s="101"/>
      <c r="L66" s="101"/>
      <c r="M66" s="101"/>
      <c r="N66" s="101"/>
      <c r="O66" s="101"/>
      <c r="P66" s="101"/>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row>
    <row r="67" spans="1:54">
      <c r="A67" s="53">
        <v>26</v>
      </c>
      <c r="B67" s="92" t="s">
        <v>182</v>
      </c>
      <c r="C67" s="93">
        <f>HLOOKUP($C$42,$H$42:$BH$67,$G67,FALSE)</f>
        <v>20.727518530000008</v>
      </c>
      <c r="D67" s="93">
        <f>HLOOKUP($D$42,$H$42:$BH$67,$G67,FALSE)</f>
        <v>20.553408759999996</v>
      </c>
      <c r="E67" s="97">
        <f>D67/C67-1</f>
        <v>-8.3999331491617646E-3</v>
      </c>
      <c r="G67" s="53">
        <f t="shared" si="23"/>
        <v>26</v>
      </c>
      <c r="H67" s="92" t="s">
        <v>182</v>
      </c>
      <c r="I67" s="98"/>
      <c r="J67" s="98"/>
      <c r="K67" s="98"/>
      <c r="L67" s="98"/>
      <c r="M67" s="98"/>
      <c r="N67" s="98"/>
      <c r="O67" s="98"/>
      <c r="P67" s="98"/>
      <c r="Q67" s="93">
        <f t="shared" ref="Q67:BB67" si="47">Q65-Q63</f>
        <v>16.722630229999996</v>
      </c>
      <c r="R67" s="93">
        <f t="shared" si="47"/>
        <v>9.1214044699999999</v>
      </c>
      <c r="S67" s="93">
        <f t="shared" si="47"/>
        <v>16.092304820000006</v>
      </c>
      <c r="T67" s="93">
        <f t="shared" si="47"/>
        <v>14.102576740000007</v>
      </c>
      <c r="U67" s="93">
        <f t="shared" si="47"/>
        <v>11.413736150000004</v>
      </c>
      <c r="V67" s="93">
        <f t="shared" si="47"/>
        <v>10.911691419999997</v>
      </c>
      <c r="W67" s="93">
        <f t="shared" si="47"/>
        <v>13.469644769999995</v>
      </c>
      <c r="X67" s="93">
        <f t="shared" si="47"/>
        <v>17.790658310000005</v>
      </c>
      <c r="Y67" s="93">
        <f t="shared" si="47"/>
        <v>9.9220379099999914</v>
      </c>
      <c r="Z67" s="93">
        <f t="shared" si="47"/>
        <v>12.321331760000003</v>
      </c>
      <c r="AA67" s="93">
        <f t="shared" si="47"/>
        <v>7.3580409999999983</v>
      </c>
      <c r="AB67" s="93">
        <f t="shared" si="47"/>
        <v>6.7242893699999993</v>
      </c>
      <c r="AC67" s="93">
        <f t="shared" si="47"/>
        <v>16.477185669999997</v>
      </c>
      <c r="AD67" s="93">
        <f t="shared" si="47"/>
        <v>18.472225720000001</v>
      </c>
      <c r="AE67" s="93">
        <f t="shared" si="47"/>
        <v>15.989242209999997</v>
      </c>
      <c r="AF67" s="93">
        <f t="shared" si="47"/>
        <v>18.991432969999998</v>
      </c>
      <c r="AG67" s="93">
        <f t="shared" si="47"/>
        <v>19.581899710000005</v>
      </c>
      <c r="AH67" s="93">
        <f t="shared" si="47"/>
        <v>13.52670906</v>
      </c>
      <c r="AI67" s="93">
        <f t="shared" si="47"/>
        <v>15.656362470000001</v>
      </c>
      <c r="AJ67" s="93">
        <f t="shared" si="47"/>
        <v>16.272895390000006</v>
      </c>
      <c r="AK67" s="93">
        <f t="shared" si="47"/>
        <v>16.934051869999994</v>
      </c>
      <c r="AL67" s="93">
        <f t="shared" si="47"/>
        <v>14.455169850000001</v>
      </c>
      <c r="AM67" s="93">
        <f t="shared" si="47"/>
        <v>19.862733290000001</v>
      </c>
      <c r="AN67" s="93">
        <f t="shared" si="47"/>
        <v>18.279215909999984</v>
      </c>
      <c r="AO67" s="93">
        <f t="shared" si="47"/>
        <v>24.898559639999995</v>
      </c>
      <c r="AP67" s="93">
        <f t="shared" si="47"/>
        <v>21.749549699999996</v>
      </c>
      <c r="AQ67" s="93">
        <f t="shared" si="47"/>
        <v>24.74</v>
      </c>
      <c r="AR67" s="93">
        <f t="shared" si="47"/>
        <v>33.750337640000048</v>
      </c>
      <c r="AS67" s="93">
        <f t="shared" si="47"/>
        <v>25.005951160000009</v>
      </c>
      <c r="AT67" s="93">
        <f t="shared" si="47"/>
        <v>0.18746012000000079</v>
      </c>
      <c r="AU67" s="93">
        <f t="shared" si="47"/>
        <v>48.856589139999983</v>
      </c>
      <c r="AV67" s="93">
        <f t="shared" si="47"/>
        <v>24.082997179999985</v>
      </c>
      <c r="AW67" s="93">
        <f t="shared" si="47"/>
        <v>17.561261039999998</v>
      </c>
      <c r="AX67" s="93">
        <f t="shared" si="47"/>
        <v>20.727518530000008</v>
      </c>
      <c r="AY67" s="93">
        <f t="shared" si="47"/>
        <v>22.532308820000022</v>
      </c>
      <c r="AZ67" s="93">
        <f t="shared" si="47"/>
        <v>23.330502859999967</v>
      </c>
      <c r="BA67" s="93">
        <f t="shared" si="47"/>
        <v>21.86281790000001</v>
      </c>
      <c r="BB67" s="93">
        <f t="shared" si="47"/>
        <v>20.553408759999996</v>
      </c>
    </row>
    <row r="68" spans="1:54">
      <c r="W68" s="47"/>
    </row>
    <row r="69" spans="1:54">
      <c r="W69" s="47"/>
      <c r="AJ69" s="47"/>
      <c r="AK69" s="47"/>
      <c r="AL69" s="47"/>
      <c r="AM69" s="47"/>
      <c r="AN69" s="47"/>
      <c r="AO69" s="47"/>
    </row>
    <row r="70" spans="1:54" ht="92.25" customHeight="1">
      <c r="B70" s="135" t="s">
        <v>211</v>
      </c>
      <c r="C70" s="135"/>
      <c r="D70" s="135"/>
      <c r="E70" s="135"/>
      <c r="W70" s="47"/>
    </row>
    <row r="71" spans="1:54">
      <c r="AG71" s="47"/>
      <c r="AH71" s="47"/>
      <c r="AI71" s="47"/>
      <c r="AJ71" s="49"/>
      <c r="AK71" s="47"/>
      <c r="AL71" s="47"/>
      <c r="AM71" s="47"/>
      <c r="AN71" s="47"/>
      <c r="AO71" s="47"/>
    </row>
    <row r="72" spans="1:54" ht="226.5" customHeight="1">
      <c r="B72" s="135"/>
      <c r="C72" s="135"/>
      <c r="D72" s="135"/>
      <c r="E72" s="135"/>
      <c r="W72" s="47"/>
    </row>
    <row r="73" spans="1:54">
      <c r="W73" s="48"/>
    </row>
  </sheetData>
  <mergeCells count="101">
    <mergeCell ref="AU42:AU43"/>
    <mergeCell ref="AZ7:AZ8"/>
    <mergeCell ref="AZ42:AZ43"/>
    <mergeCell ref="AY7:AY8"/>
    <mergeCell ref="AY42:AY43"/>
    <mergeCell ref="AX7:AX8"/>
    <mergeCell ref="AX42:AX43"/>
    <mergeCell ref="AW7:AW8"/>
    <mergeCell ref="AW42:AW43"/>
    <mergeCell ref="AV7:AV8"/>
    <mergeCell ref="AV42:AV43"/>
    <mergeCell ref="P42:P43"/>
    <mergeCell ref="B35:AN37"/>
    <mergeCell ref="AM42:AM43"/>
    <mergeCell ref="M42:M43"/>
    <mergeCell ref="K42:K43"/>
    <mergeCell ref="L42:L43"/>
    <mergeCell ref="Q42:Q43"/>
    <mergeCell ref="R42:R43"/>
    <mergeCell ref="V42:V43"/>
    <mergeCell ref="B72:E72"/>
    <mergeCell ref="C42:C43"/>
    <mergeCell ref="D42:D43"/>
    <mergeCell ref="B70:E70"/>
    <mergeCell ref="J42:J43"/>
    <mergeCell ref="I42:I43"/>
    <mergeCell ref="E42:E43"/>
    <mergeCell ref="N42:N43"/>
    <mergeCell ref="O42:O43"/>
    <mergeCell ref="S7:S8"/>
    <mergeCell ref="T7:T8"/>
    <mergeCell ref="AE42:AE43"/>
    <mergeCell ref="AH42:AH43"/>
    <mergeCell ref="AA7:AA8"/>
    <mergeCell ref="AF42:AF43"/>
    <mergeCell ref="AF7:AF8"/>
    <mergeCell ref="AG7:AG8"/>
    <mergeCell ref="AG42:AG43"/>
    <mergeCell ref="AH7:AH8"/>
    <mergeCell ref="U42:U43"/>
    <mergeCell ref="U7:U8"/>
    <mergeCell ref="S42:S43"/>
    <mergeCell ref="T42:T43"/>
    <mergeCell ref="AE7:AE8"/>
    <mergeCell ref="J7:J8"/>
    <mergeCell ref="K7:K8"/>
    <mergeCell ref="L7:L8"/>
    <mergeCell ref="M7:M8"/>
    <mergeCell ref="N7:N8"/>
    <mergeCell ref="O7:O8"/>
    <mergeCell ref="P7:P8"/>
    <mergeCell ref="Q7:Q8"/>
    <mergeCell ref="R7:R8"/>
    <mergeCell ref="AI7:AI8"/>
    <mergeCell ref="AI42:AI43"/>
    <mergeCell ref="AJ7:AJ8"/>
    <mergeCell ref="C7:C8"/>
    <mergeCell ref="AJ42:AJ43"/>
    <mergeCell ref="AD42:AD43"/>
    <mergeCell ref="AC42:AC43"/>
    <mergeCell ref="AA42:AA43"/>
    <mergeCell ref="AB42:AB43"/>
    <mergeCell ref="W42:W43"/>
    <mergeCell ref="X42:X43"/>
    <mergeCell ref="AC7:AC8"/>
    <mergeCell ref="AD7:AD8"/>
    <mergeCell ref="Y42:Y43"/>
    <mergeCell ref="Z42:Z43"/>
    <mergeCell ref="AB7:AB8"/>
    <mergeCell ref="X7:X8"/>
    <mergeCell ref="Z7:Z8"/>
    <mergeCell ref="D7:D8"/>
    <mergeCell ref="E7:E8"/>
    <mergeCell ref="V7:V8"/>
    <mergeCell ref="Y7:Y8"/>
    <mergeCell ref="W7:W8"/>
    <mergeCell ref="I7:I8"/>
    <mergeCell ref="BA7:BA8"/>
    <mergeCell ref="BB7:BB8"/>
    <mergeCell ref="BA42:BA43"/>
    <mergeCell ref="BB42:BB43"/>
    <mergeCell ref="AO7:AO8"/>
    <mergeCell ref="AO42:AO43"/>
    <mergeCell ref="AK7:AK8"/>
    <mergeCell ref="AL7:AL8"/>
    <mergeCell ref="AL42:AL43"/>
    <mergeCell ref="AM7:AM8"/>
    <mergeCell ref="AN7:AN8"/>
    <mergeCell ref="AN42:AN43"/>
    <mergeCell ref="AK42:AK43"/>
    <mergeCell ref="AQ7:AQ8"/>
    <mergeCell ref="AQ42:AQ43"/>
    <mergeCell ref="AT7:AT8"/>
    <mergeCell ref="AP42:AP43"/>
    <mergeCell ref="AR7:AR8"/>
    <mergeCell ref="AR42:AR43"/>
    <mergeCell ref="AP7:AP8"/>
    <mergeCell ref="AS7:AS8"/>
    <mergeCell ref="AS42:AS43"/>
    <mergeCell ref="AT42:AT43"/>
    <mergeCell ref="AU7:AU8"/>
  </mergeCells>
  <phoneticPr fontId="14" type="noConversion"/>
  <pageMargins left="0.7" right="0.7" top="0.75" bottom="0.75" header="0.3" footer="0.3"/>
  <pageSetup orientation="portrait" r:id="rId1"/>
  <ignoredErrors>
    <ignoredError sqref="AB10 AB52" formula="1"/>
    <ignoredError sqref="E46 E53 E66 E51 E58 E60:E64"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79998168889431442"/>
  </sheetPr>
  <dimension ref="A4:BC49"/>
  <sheetViews>
    <sheetView zoomScaleNormal="100" workbookViewId="0">
      <selection activeCell="A6" sqref="A6:A47"/>
    </sheetView>
  </sheetViews>
  <sheetFormatPr defaultColWidth="11.42578125" defaultRowHeight="15"/>
  <cols>
    <col min="1" max="1" width="3" style="1" bestFit="1" customWidth="1"/>
    <col min="2" max="2" width="58" style="1" bestFit="1" customWidth="1"/>
    <col min="3" max="3" width="6.85546875" style="1" bestFit="1" customWidth="1"/>
    <col min="4" max="4" width="7.28515625" style="1" bestFit="1" customWidth="1"/>
    <col min="5" max="5" width="8.42578125" style="1" bestFit="1" customWidth="1"/>
    <col min="6" max="6" width="11.42578125" style="1" customWidth="1"/>
    <col min="7" max="7" width="3" style="53" bestFit="1" customWidth="1"/>
    <col min="8" max="8" width="58" style="1" bestFit="1" customWidth="1"/>
    <col min="9" max="9" width="6.85546875" style="1" bestFit="1" customWidth="1"/>
    <col min="10" max="11" width="7.28515625" style="1" bestFit="1" customWidth="1"/>
    <col min="12" max="12" width="8.42578125" style="1" bestFit="1" customWidth="1"/>
    <col min="13" max="14" width="7.28515625" style="1" bestFit="1" customWidth="1"/>
    <col min="15" max="15" width="7.7109375" style="1" bestFit="1" customWidth="1"/>
    <col min="16" max="21" width="7.28515625" style="1" bestFit="1" customWidth="1"/>
    <col min="22" max="22" width="6.85546875" style="1" bestFit="1" customWidth="1"/>
    <col min="23" max="23" width="7.28515625" style="1" bestFit="1" customWidth="1"/>
    <col min="24" max="24" width="8.42578125" style="1" bestFit="1" customWidth="1"/>
    <col min="25" max="35" width="7.28515625" style="1" bestFit="1" customWidth="1"/>
    <col min="36" max="36" width="8.42578125" style="1" bestFit="1" customWidth="1"/>
    <col min="37" max="38" width="7.28515625" style="1" bestFit="1" customWidth="1"/>
    <col min="39" max="39" width="7.85546875" style="1" bestFit="1" customWidth="1"/>
    <col min="40" max="40" width="8.42578125" style="1" bestFit="1" customWidth="1"/>
    <col min="41" max="42" width="7.28515625" style="1" bestFit="1" customWidth="1"/>
    <col min="43" max="47" width="7.7109375" style="1" bestFit="1" customWidth="1"/>
    <col min="48" max="48" width="7.28515625" style="1" bestFit="1" customWidth="1"/>
    <col min="49" max="51" width="6.85546875" style="1" bestFit="1" customWidth="1"/>
    <col min="52" max="54" width="7.28515625" style="1" bestFit="1" customWidth="1"/>
    <col min="55" max="16384" width="11.42578125" style="1"/>
  </cols>
  <sheetData>
    <row r="4" spans="1:54" ht="23.2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row>
    <row r="5" spans="1:54" ht="8.25" customHeight="1"/>
    <row r="6" spans="1:54" s="123" customFormat="1">
      <c r="A6" s="124">
        <v>1</v>
      </c>
      <c r="B6" s="3" t="s">
        <v>212</v>
      </c>
      <c r="C6" s="134" t="s">
        <v>141</v>
      </c>
      <c r="D6" s="134" t="s">
        <v>237</v>
      </c>
      <c r="E6" s="134" t="s">
        <v>100</v>
      </c>
      <c r="G6" s="124">
        <v>1</v>
      </c>
      <c r="H6" s="3" t="s">
        <v>212</v>
      </c>
      <c r="I6" s="134" t="s">
        <v>101</v>
      </c>
      <c r="J6" s="134" t="s">
        <v>102</v>
      </c>
      <c r="K6" s="134" t="s">
        <v>103</v>
      </c>
      <c r="L6" s="134" t="s">
        <v>104</v>
      </c>
      <c r="M6" s="134" t="s">
        <v>105</v>
      </c>
      <c r="N6" s="134" t="s">
        <v>106</v>
      </c>
      <c r="O6" s="134" t="s">
        <v>107</v>
      </c>
      <c r="P6" s="134" t="s">
        <v>108</v>
      </c>
      <c r="Q6" s="134" t="s">
        <v>109</v>
      </c>
      <c r="R6" s="134" t="s">
        <v>110</v>
      </c>
      <c r="S6" s="134" t="s">
        <v>111</v>
      </c>
      <c r="T6" s="134" t="s">
        <v>112</v>
      </c>
      <c r="U6" s="134" t="s">
        <v>113</v>
      </c>
      <c r="V6" s="134" t="s">
        <v>114</v>
      </c>
      <c r="W6" s="134" t="s">
        <v>115</v>
      </c>
      <c r="X6" s="134" t="s">
        <v>116</v>
      </c>
      <c r="Y6" s="134" t="s">
        <v>117</v>
      </c>
      <c r="Z6" s="134" t="s">
        <v>118</v>
      </c>
      <c r="AA6" s="134" t="s">
        <v>119</v>
      </c>
      <c r="AB6" s="134" t="s">
        <v>120</v>
      </c>
      <c r="AC6" s="134" t="s">
        <v>121</v>
      </c>
      <c r="AD6" s="134" t="s">
        <v>122</v>
      </c>
      <c r="AE6" s="134" t="s">
        <v>123</v>
      </c>
      <c r="AF6" s="134" t="s">
        <v>124</v>
      </c>
      <c r="AG6" s="134" t="s">
        <v>125</v>
      </c>
      <c r="AH6" s="134" t="s">
        <v>126</v>
      </c>
      <c r="AI6" s="134" t="s">
        <v>127</v>
      </c>
      <c r="AJ6" s="134" t="s">
        <v>128</v>
      </c>
      <c r="AK6" s="134" t="s">
        <v>129</v>
      </c>
      <c r="AL6" s="134" t="s">
        <v>130</v>
      </c>
      <c r="AM6" s="134" t="s">
        <v>131</v>
      </c>
      <c r="AN6" s="134" t="s">
        <v>132</v>
      </c>
      <c r="AO6" s="134" t="s">
        <v>133</v>
      </c>
      <c r="AP6" s="134" t="s">
        <v>134</v>
      </c>
      <c r="AQ6" s="134" t="s">
        <v>135</v>
      </c>
      <c r="AR6" s="134" t="s">
        <v>136</v>
      </c>
      <c r="AS6" s="134" t="s">
        <v>137</v>
      </c>
      <c r="AT6" s="134" t="s">
        <v>138</v>
      </c>
      <c r="AU6" s="134" t="s">
        <v>139</v>
      </c>
      <c r="AV6" s="134" t="s">
        <v>98</v>
      </c>
      <c r="AW6" s="134" t="s">
        <v>140</v>
      </c>
      <c r="AX6" s="134" t="s">
        <v>141</v>
      </c>
      <c r="AY6" s="134" t="s">
        <v>142</v>
      </c>
      <c r="AZ6" s="134" t="s">
        <v>99</v>
      </c>
      <c r="BA6" s="134" t="s">
        <v>236</v>
      </c>
      <c r="BB6" s="134" t="s">
        <v>237</v>
      </c>
    </row>
    <row r="7" spans="1:54" s="123" customFormat="1">
      <c r="A7" s="124">
        <v>2</v>
      </c>
      <c r="B7" s="3" t="s">
        <v>166</v>
      </c>
      <c r="C7" s="134"/>
      <c r="D7" s="134"/>
      <c r="E7" s="134"/>
      <c r="G7" s="124">
        <f>G6+1</f>
        <v>2</v>
      </c>
      <c r="H7" s="3" t="s">
        <v>166</v>
      </c>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row>
    <row r="8" spans="1:54" ht="5.25" customHeight="1">
      <c r="A8" s="53">
        <v>3</v>
      </c>
      <c r="G8" s="53">
        <f t="shared" ref="G8:G23" si="0">G7+1</f>
        <v>3</v>
      </c>
    </row>
    <row r="9" spans="1:54">
      <c r="A9" s="53">
        <v>4</v>
      </c>
      <c r="B9" s="5" t="s">
        <v>183</v>
      </c>
      <c r="C9" s="8">
        <f>HLOOKUP($C$6,$H$6:$BX$23,$G9,FALSE)</f>
        <v>13.613482100000002</v>
      </c>
      <c r="D9" s="8">
        <f>HLOOKUP($D$6,$H$6:$BX$23,$G9,FALSE)</f>
        <v>9.3513967899999972</v>
      </c>
      <c r="E9" s="44">
        <f t="shared" ref="E9:E10" si="1">+D9/C9-1</f>
        <v>-0.31307826158599084</v>
      </c>
      <c r="G9" s="53">
        <f t="shared" si="0"/>
        <v>4</v>
      </c>
      <c r="H9" s="5" t="s">
        <v>183</v>
      </c>
      <c r="I9" s="8">
        <v>1.4662270099999999</v>
      </c>
      <c r="J9" s="8">
        <v>1.1757188900000002</v>
      </c>
      <c r="K9" s="8">
        <v>1.7353684800000002</v>
      </c>
      <c r="L9" s="8">
        <v>1.1839040000000001</v>
      </c>
      <c r="M9" s="8">
        <v>0.95460129000000005</v>
      </c>
      <c r="N9" s="8">
        <v>1.11481557</v>
      </c>
      <c r="O9" s="8">
        <v>1.42294038</v>
      </c>
      <c r="P9" s="8">
        <v>2.02492457</v>
      </c>
      <c r="Q9" s="8">
        <v>2.5239263000000003</v>
      </c>
      <c r="R9" s="8">
        <v>2.6392289799999999</v>
      </c>
      <c r="S9" s="8">
        <v>1.97991607</v>
      </c>
      <c r="T9" s="8">
        <v>2.3358944199999998</v>
      </c>
      <c r="U9" s="8">
        <v>2.4035590900000003</v>
      </c>
      <c r="V9" s="8">
        <v>2.6319862900000004</v>
      </c>
      <c r="W9" s="8">
        <v>3.0199921999999999</v>
      </c>
      <c r="X9" s="8">
        <v>4.0376973799999991</v>
      </c>
      <c r="Y9" s="8">
        <v>4.6344836200000001</v>
      </c>
      <c r="Z9" s="8">
        <v>4.2783687300000004</v>
      </c>
      <c r="AA9" s="8">
        <v>4.7103349699999999</v>
      </c>
      <c r="AB9" s="8">
        <f>6.01289806-AB33</f>
        <v>5.7128980600000006</v>
      </c>
      <c r="AC9" s="8">
        <f>6.38418633-AC33</f>
        <v>6.2427841200000005</v>
      </c>
      <c r="AD9" s="8">
        <v>4.8234028599999998</v>
      </c>
      <c r="AE9" s="8">
        <f>4.91729925-AE33</f>
        <v>4.8143698200000005</v>
      </c>
      <c r="AF9" s="8">
        <v>5.6272245399999994</v>
      </c>
      <c r="AG9" s="8">
        <v>5.0345027899999995</v>
      </c>
      <c r="AH9" s="8">
        <f>2.96507997-AH33</f>
        <v>2.84445215</v>
      </c>
      <c r="AI9" s="8">
        <f>1.77239862-AI33</f>
        <v>1.4703623100000001</v>
      </c>
      <c r="AJ9" s="8">
        <f>1.47030009-AJ33</f>
        <v>1.31337612</v>
      </c>
      <c r="AK9" s="8">
        <f>1.29118209-AK33</f>
        <v>1.2344813399999999</v>
      </c>
      <c r="AL9" s="8">
        <f>1.1247755-AL33</f>
        <v>1.07016618</v>
      </c>
      <c r="AM9" s="8">
        <f>0.942097710000001-AM33</f>
        <v>0.91264000000000101</v>
      </c>
      <c r="AN9" s="8">
        <f>1.60977117-AN33</f>
        <v>1.5648380799999999</v>
      </c>
      <c r="AO9" s="8">
        <f>2.52594328-AO33</f>
        <v>2.4388063899999999</v>
      </c>
      <c r="AP9" s="8">
        <v>4.7130952443980334</v>
      </c>
      <c r="AQ9" s="8">
        <v>7.39</v>
      </c>
      <c r="AR9" s="8">
        <v>14.798231445711348</v>
      </c>
      <c r="AS9" s="8">
        <v>15.011799372356622</v>
      </c>
      <c r="AT9" s="8">
        <f>16.45-AT33</f>
        <v>15.99527191</v>
      </c>
      <c r="AU9" s="8">
        <f>17.6275960348242-AU33</f>
        <v>17.140367324824201</v>
      </c>
      <c r="AV9" s="8">
        <v>18.220798819999985</v>
      </c>
      <c r="AW9" s="8">
        <v>14.920460329999997</v>
      </c>
      <c r="AX9" s="8">
        <v>13.613482100000002</v>
      </c>
      <c r="AY9" s="8">
        <v>11.888624609999997</v>
      </c>
      <c r="AZ9" s="8">
        <v>8.6048953099999963</v>
      </c>
      <c r="BA9" s="8">
        <v>8.4426712300000002</v>
      </c>
      <c r="BB9" s="8">
        <v>9.3513967899999972</v>
      </c>
    </row>
    <row r="10" spans="1:54">
      <c r="A10" s="53">
        <v>5</v>
      </c>
      <c r="B10" s="5" t="s">
        <v>184</v>
      </c>
      <c r="C10" s="8">
        <f>HLOOKUP($C$6,$H$6:$BX$23,$G10,FALSE)</f>
        <v>-12.480874646494982</v>
      </c>
      <c r="D10" s="8">
        <f>HLOOKUP($D$6,$H$6:$BX$23,$G10,FALSE)</f>
        <v>-14.576933121278715</v>
      </c>
      <c r="E10" s="44">
        <f t="shared" si="1"/>
        <v>0.1679416334313053</v>
      </c>
      <c r="G10" s="53">
        <f t="shared" si="0"/>
        <v>5</v>
      </c>
      <c r="H10" s="5" t="s">
        <v>184</v>
      </c>
      <c r="I10" s="8">
        <v>-10.626635870000003</v>
      </c>
      <c r="J10" s="8">
        <v>-18.906711529999999</v>
      </c>
      <c r="K10" s="8">
        <v>-22.234989130000002</v>
      </c>
      <c r="L10" s="8">
        <v>-24.200978769999999</v>
      </c>
      <c r="M10" s="8">
        <v>-22.225827200000001</v>
      </c>
      <c r="N10" s="8">
        <v>-22.659230260000001</v>
      </c>
      <c r="O10" s="8">
        <v>-22.1827258</v>
      </c>
      <c r="P10" s="8">
        <v>-23.468063270000012</v>
      </c>
      <c r="Q10" s="8">
        <v>-21.995525559999994</v>
      </c>
      <c r="R10" s="8">
        <v>-29.405213699999994</v>
      </c>
      <c r="S10" s="8">
        <v>-20.349421719999999</v>
      </c>
      <c r="T10" s="8">
        <v>-17.031099160000004</v>
      </c>
      <c r="U10" s="8">
        <v>-17.078348720000001</v>
      </c>
      <c r="V10" s="8">
        <v>-16.949563600000001</v>
      </c>
      <c r="W10" s="8">
        <v>-18.106198549999998</v>
      </c>
      <c r="X10" s="8">
        <v>-18.049542049999999</v>
      </c>
      <c r="Y10" s="8">
        <v>-16.651068130000002</v>
      </c>
      <c r="Z10" s="8">
        <v>-16.379844120000001</v>
      </c>
      <c r="AA10" s="8">
        <v>-16.317024100000001</v>
      </c>
      <c r="AB10" s="8">
        <f>+-20.77659963-AB34</f>
        <v>-16.176599629999998</v>
      </c>
      <c r="AC10" s="8">
        <f>+-22.87158708-AC34</f>
        <v>-18.271972760000001</v>
      </c>
      <c r="AD10" s="8">
        <v>-16.063149940000002</v>
      </c>
      <c r="AE10" s="8">
        <f>+-22.90039531-AE34</f>
        <v>-15.867734390000001</v>
      </c>
      <c r="AF10" s="8">
        <v>-15.93443744</v>
      </c>
      <c r="AG10" s="8">
        <v>-22.52007699</v>
      </c>
      <c r="AH10" s="8">
        <f>+-22.69825814-AH34</f>
        <v>-16.0913121</v>
      </c>
      <c r="AI10" s="8">
        <f>-22.93371934-AI34</f>
        <v>-15.99297938</v>
      </c>
      <c r="AJ10" s="8">
        <f>+-22.3071621318032-AJ34</f>
        <v>-15.8623332918032</v>
      </c>
      <c r="AK10" s="8">
        <f>+-22.189419768481-AK34</f>
        <v>-15.563348398480999</v>
      </c>
      <c r="AL10" s="8">
        <f>+-21.403158571519-AL34</f>
        <v>-15.183844811518998</v>
      </c>
      <c r="AM10" s="8">
        <f>+-20.9877454360415-AM34</f>
        <v>-14.383637196041501</v>
      </c>
      <c r="AN10" s="8">
        <f>+-21.7663304023006-AN34</f>
        <v>-15.7333862323006</v>
      </c>
      <c r="AO10" s="8">
        <f>+-20.9064111211749-AO34</f>
        <v>-14.6295752711749</v>
      </c>
      <c r="AP10" s="8">
        <v>-15.030657780752792</v>
      </c>
      <c r="AQ10" s="8">
        <v>-16.739999999999998</v>
      </c>
      <c r="AR10" s="8">
        <v>-18.936528970145986</v>
      </c>
      <c r="AS10" s="8">
        <v>-17.451730310295329</v>
      </c>
      <c r="AT10" s="8">
        <f>-22.06-AT34</f>
        <v>-16.417526949999999</v>
      </c>
      <c r="AU10" s="8">
        <f>-21.0050914995364-AU34</f>
        <v>-15.010323759536405</v>
      </c>
      <c r="AV10" s="8">
        <v>-13.926444329354201</v>
      </c>
      <c r="AW10" s="8">
        <v>-13.045145169894102</v>
      </c>
      <c r="AX10" s="8">
        <v>-12.480874646494982</v>
      </c>
      <c r="AY10" s="8">
        <v>-11.848220065156251</v>
      </c>
      <c r="AZ10" s="8">
        <v>-12.211139840318911</v>
      </c>
      <c r="BA10" s="8">
        <v>-13.450218298142191</v>
      </c>
      <c r="BB10" s="8">
        <v>-14.576933121278715</v>
      </c>
    </row>
    <row r="11" spans="1:54">
      <c r="A11" s="53">
        <v>6</v>
      </c>
      <c r="B11" s="5" t="s">
        <v>185</v>
      </c>
      <c r="C11" s="8">
        <f>HLOOKUP($C$6,$H$6:$BX$23,$G11,FALSE)</f>
        <v>0.3381039628903304</v>
      </c>
      <c r="D11" s="8">
        <f>HLOOKUP($D$6,$H$6:$BX$23,$G11,FALSE)</f>
        <v>-0.6039382005569025</v>
      </c>
      <c r="E11" s="44" t="s">
        <v>148</v>
      </c>
      <c r="G11" s="53">
        <f t="shared" si="0"/>
        <v>6</v>
      </c>
      <c r="H11" s="5" t="s">
        <v>185</v>
      </c>
      <c r="I11" s="8">
        <v>-8.8651856400000035</v>
      </c>
      <c r="J11" s="8">
        <v>-4.3334364300000034</v>
      </c>
      <c r="K11" s="8">
        <v>-4.3586822799999982</v>
      </c>
      <c r="L11" s="8">
        <v>-4.8634491599999947</v>
      </c>
      <c r="M11" s="8">
        <v>0.40925101999999863</v>
      </c>
      <c r="N11" s="8">
        <v>9.0239089999998218E-2</v>
      </c>
      <c r="O11" s="8">
        <v>-11.379597659999998</v>
      </c>
      <c r="P11" s="8">
        <v>-0.28029470999999839</v>
      </c>
      <c r="Q11" s="8">
        <v>1.6776827199999993</v>
      </c>
      <c r="R11" s="8">
        <v>1.8926907599999989</v>
      </c>
      <c r="S11" s="8">
        <v>0.6660450100000006</v>
      </c>
      <c r="T11" s="8">
        <v>-2.1365888599999994</v>
      </c>
      <c r="U11" s="8">
        <v>-1.1568363599999962</v>
      </c>
      <c r="V11" s="8">
        <v>0.97049637000000044</v>
      </c>
      <c r="W11" s="8">
        <v>2.7896323000000032</v>
      </c>
      <c r="X11" s="8">
        <v>3.2934243999999993</v>
      </c>
      <c r="Y11" s="8">
        <v>-0.92194750000000047</v>
      </c>
      <c r="Z11" s="8">
        <v>-6.2046905200000015</v>
      </c>
      <c r="AA11" s="8">
        <v>-1.2370830100000005</v>
      </c>
      <c r="AB11" s="8">
        <f>+-3.07027684-AB35</f>
        <v>-2.3702768399999998</v>
      </c>
      <c r="AC11" s="8">
        <f>1.26233637-AC35</f>
        <v>0.51242419000000017</v>
      </c>
      <c r="AD11" s="8">
        <v>0.56314343000000178</v>
      </c>
      <c r="AE11" s="8">
        <f>+-7.7517799-AE35</f>
        <v>-6.7136207399999996</v>
      </c>
      <c r="AF11" s="8">
        <v>-2.4574157799999981</v>
      </c>
      <c r="AG11" s="8">
        <v>-4.8135680699999979</v>
      </c>
      <c r="AH11" s="8">
        <f>4.90670248-AH35</f>
        <v>6.4015687899999998</v>
      </c>
      <c r="AI11" s="8">
        <f>2.12866110999999-AI35</f>
        <v>2.3133282699999902</v>
      </c>
      <c r="AJ11" s="8">
        <f>3.48765462486777-AJ35</f>
        <v>3.6742374048677702</v>
      </c>
      <c r="AK11" s="8">
        <f>+-2.8008947524971-AK35</f>
        <v>-1.7878934124971002</v>
      </c>
      <c r="AL11" s="8">
        <f>0.663801022497097-AL35</f>
        <v>1.0239868724970975</v>
      </c>
      <c r="AM11" s="8">
        <f>+-10.3464105744538-AM35</f>
        <v>-8.8174842144538008</v>
      </c>
      <c r="AN11" s="8">
        <f>+-1.34246772571796-AN35</f>
        <v>-2.5856108957179602</v>
      </c>
      <c r="AO11" s="8">
        <f>1.48156127068601-AO35</f>
        <v>0.29630127068600998</v>
      </c>
      <c r="AP11" s="8">
        <v>-10.035349439768115</v>
      </c>
      <c r="AQ11" s="8">
        <v>-2.95</v>
      </c>
      <c r="AR11" s="8">
        <v>9.3632037117744531</v>
      </c>
      <c r="AS11" s="8">
        <v>0.65734639204547696</v>
      </c>
      <c r="AT11" s="8">
        <f>-3.11-AT35</f>
        <v>-4.6972115600000004</v>
      </c>
      <c r="AU11" s="8">
        <f>-3.99090034306757-AU35</f>
        <v>-1.9739785330675694</v>
      </c>
      <c r="AV11" s="8">
        <v>-0.8281157996298063</v>
      </c>
      <c r="AW11" s="8">
        <v>0.6194717667019316</v>
      </c>
      <c r="AX11" s="8">
        <v>0.3381039628903304</v>
      </c>
      <c r="AY11" s="8">
        <v>2.2631584542165908</v>
      </c>
      <c r="AZ11" s="8">
        <v>-4.5</v>
      </c>
      <c r="BA11" s="8">
        <v>2.2737694156458099</v>
      </c>
      <c r="BB11" s="8">
        <v>-0.6039382005569025</v>
      </c>
    </row>
    <row r="12" spans="1:54">
      <c r="A12" s="53">
        <v>7</v>
      </c>
      <c r="B12" s="5" t="s">
        <v>186</v>
      </c>
      <c r="C12" s="8">
        <f>HLOOKUP($C$6,$H$6:$BX$23,$G12,FALSE)</f>
        <v>3.3325563399999996</v>
      </c>
      <c r="D12" s="8">
        <f>HLOOKUP($D$6,$H$6:$BX$23,$G12,FALSE)</f>
        <v>3.3040840899999999</v>
      </c>
      <c r="E12" s="44">
        <f>+D12/C12-1</f>
        <v>-8.5436665115764532E-3</v>
      </c>
      <c r="G12" s="53">
        <f t="shared" si="0"/>
        <v>7</v>
      </c>
      <c r="H12" s="5" t="s">
        <v>186</v>
      </c>
      <c r="I12" s="8">
        <v>1.3290894200000001</v>
      </c>
      <c r="J12" s="8">
        <v>1.5853836699999999</v>
      </c>
      <c r="K12" s="8">
        <v>0.97654169999999996</v>
      </c>
      <c r="L12" s="8">
        <v>-103.20577056</v>
      </c>
      <c r="M12" s="8">
        <v>1.4798667200000002</v>
      </c>
      <c r="N12" s="8">
        <v>1.6878022100000001</v>
      </c>
      <c r="O12" s="8">
        <v>2.3139469400000001</v>
      </c>
      <c r="P12" s="8">
        <v>1.1384796700000002</v>
      </c>
      <c r="Q12" s="8">
        <v>1.3951977900000001</v>
      </c>
      <c r="R12" s="8">
        <v>1.6620992699999999</v>
      </c>
      <c r="S12" s="8">
        <v>1.4309245900000001</v>
      </c>
      <c r="T12" s="8">
        <v>0.92597229999999997</v>
      </c>
      <c r="U12" s="8">
        <v>0.73980449999999998</v>
      </c>
      <c r="V12" s="8">
        <v>1.1078972599999999</v>
      </c>
      <c r="W12" s="8">
        <v>1.2924579299999999</v>
      </c>
      <c r="X12" s="8">
        <v>-0.23659015999999999</v>
      </c>
      <c r="Y12" s="8">
        <v>4.6503776200000004</v>
      </c>
      <c r="Z12" s="8">
        <v>2.09918505</v>
      </c>
      <c r="AA12" s="8">
        <v>2.82230545</v>
      </c>
      <c r="AB12" s="8">
        <f>1.81704674-AB36</f>
        <v>2.1170467400000001</v>
      </c>
      <c r="AC12" s="8">
        <v>2.2436588</v>
      </c>
      <c r="AD12" s="8">
        <v>2.5646927799999997</v>
      </c>
      <c r="AE12" s="8">
        <v>2.1804517300000001</v>
      </c>
      <c r="AF12" s="8">
        <v>2.0129498799999999</v>
      </c>
      <c r="AG12" s="8">
        <v>2.3433842899999999</v>
      </c>
      <c r="AH12" s="8">
        <v>2.14213787</v>
      </c>
      <c r="AI12" s="8">
        <v>2.18435165</v>
      </c>
      <c r="AJ12" s="8">
        <v>3.2800220100000002</v>
      </c>
      <c r="AK12" s="8">
        <v>1.37134892</v>
      </c>
      <c r="AL12" s="8">
        <v>1.9524835000000005</v>
      </c>
      <c r="AM12" s="8">
        <v>2.0504456300000009</v>
      </c>
      <c r="AN12" s="8">
        <v>1.3235566899999993</v>
      </c>
      <c r="AO12" s="8">
        <v>2.6146828799999997</v>
      </c>
      <c r="AP12" s="8">
        <v>2.6146828799999997</v>
      </c>
      <c r="AQ12" s="8">
        <v>3.19</v>
      </c>
      <c r="AR12" s="8">
        <v>3.7476725300000004</v>
      </c>
      <c r="AS12" s="8">
        <v>4.0273403800000001</v>
      </c>
      <c r="AT12" s="8">
        <f>3.37</f>
        <v>3.37</v>
      </c>
      <c r="AU12" s="8">
        <f>2.82167445</f>
        <v>2.8216744500000002</v>
      </c>
      <c r="AV12" s="8">
        <v>2.9199357299999988</v>
      </c>
      <c r="AW12" s="8">
        <v>3.0067959500000003</v>
      </c>
      <c r="AX12" s="8">
        <v>3.3325563399999996</v>
      </c>
      <c r="AY12" s="8">
        <v>3.1898200699999983</v>
      </c>
      <c r="AZ12" s="8">
        <v>2.8018337499999997</v>
      </c>
      <c r="BA12" s="8">
        <v>3.2693498999999999</v>
      </c>
      <c r="BB12" s="8">
        <v>3.3040840899999999</v>
      </c>
    </row>
    <row r="13" spans="1:54">
      <c r="A13" s="53">
        <v>8</v>
      </c>
      <c r="B13" s="5" t="s">
        <v>187</v>
      </c>
      <c r="C13" s="8">
        <f>HLOOKUP($C$6,$H$6:$BX$23,$G13,FALSE)</f>
        <v>-9.5827358726939984</v>
      </c>
      <c r="D13" s="8">
        <f>HLOOKUP($D$6,$H$6:$BX$23,$G13,FALSE)</f>
        <v>-15.63106203612706</v>
      </c>
      <c r="E13" s="44">
        <f>+D13/C13-1</f>
        <v>0.63116903604405561</v>
      </c>
      <c r="G13" s="53">
        <f t="shared" si="0"/>
        <v>8</v>
      </c>
      <c r="H13" s="5" t="s">
        <v>187</v>
      </c>
      <c r="I13" s="8">
        <v>7.6787009399999997</v>
      </c>
      <c r="J13" s="8">
        <v>-0.6349095800000002</v>
      </c>
      <c r="K13" s="8">
        <v>1.5550089300000001</v>
      </c>
      <c r="L13" s="8">
        <v>-10.01893578</v>
      </c>
      <c r="M13" s="8">
        <v>-0.86712882999999974</v>
      </c>
      <c r="N13" s="8">
        <v>-3.8732335000000004</v>
      </c>
      <c r="O13" s="8">
        <v>10.518928080000002</v>
      </c>
      <c r="P13" s="8">
        <v>-6.9999426499999995</v>
      </c>
      <c r="Q13" s="8">
        <v>-0.57909954999999991</v>
      </c>
      <c r="R13" s="8">
        <v>-3.5300810800000009</v>
      </c>
      <c r="S13" s="8">
        <v>-0.45134172000000006</v>
      </c>
      <c r="T13" s="8">
        <v>-9.0108974999999987</v>
      </c>
      <c r="U13" s="8">
        <v>-4.5125797099999998</v>
      </c>
      <c r="V13" s="8">
        <v>14.862204890000001</v>
      </c>
      <c r="W13" s="8">
        <v>-3.5680980999999998</v>
      </c>
      <c r="X13" s="8">
        <v>-91.652864159999993</v>
      </c>
      <c r="Y13" s="8">
        <v>-4.1548844699999998</v>
      </c>
      <c r="Z13" s="8">
        <v>-9.2554299900000014</v>
      </c>
      <c r="AA13" s="8">
        <v>-4.7160856799999999</v>
      </c>
      <c r="AB13" s="8">
        <v>-34.22733968</v>
      </c>
      <c r="AC13" s="8">
        <f>+-4.51412636-AC36</f>
        <v>-5.9547356499999999</v>
      </c>
      <c r="AD13" s="8">
        <v>-9.8854343699999987</v>
      </c>
      <c r="AE13" s="8">
        <f>+-9.97992889-AE36</f>
        <v>-7.72404622</v>
      </c>
      <c r="AF13" s="8">
        <v>-82.605248800000012</v>
      </c>
      <c r="AG13" s="8">
        <v>-29.421527419999997</v>
      </c>
      <c r="AH13" s="8">
        <f>+-9.42644867-AH36</f>
        <v>-8.2086153999999993</v>
      </c>
      <c r="AI13" s="8">
        <f>+-7.9983525-AI36</f>
        <v>-8.3186008599999983</v>
      </c>
      <c r="AJ13" s="8">
        <f>+-193.31770803-AJ36</f>
        <v>-13.078110480000021</v>
      </c>
      <c r="AK13" s="8">
        <f>+-21.5381204620468-AK36</f>
        <v>-21.3322415620468</v>
      </c>
      <c r="AL13" s="8">
        <f>+-22.6635342667088-AL36</f>
        <v>-22.324859756708801</v>
      </c>
      <c r="AM13" s="8">
        <f>818.753137540501-AM36</f>
        <v>819.33085374050108</v>
      </c>
      <c r="AN13" s="8">
        <f>+-161.90484948138-AN36</f>
        <v>-160.61044991138002</v>
      </c>
      <c r="AO13" s="8">
        <f>+-16.21641086587-AO36</f>
        <v>-14.620499125869999</v>
      </c>
      <c r="AP13" s="8">
        <v>-13.536985459851605</v>
      </c>
      <c r="AQ13" s="8">
        <v>-17.059999999999999</v>
      </c>
      <c r="AR13" s="8">
        <v>-24.480819553285279</v>
      </c>
      <c r="AS13" s="8">
        <v>-14.334719300284476</v>
      </c>
      <c r="AT13" s="8">
        <f>94-AT36</f>
        <v>95.909862180000005</v>
      </c>
      <c r="AU13" s="8">
        <f>4.08176518794018-AU36</f>
        <v>6.4755275779401789</v>
      </c>
      <c r="AV13" s="8">
        <v>-27.041849934107219</v>
      </c>
      <c r="AW13" s="8">
        <v>-14.248385925640481</v>
      </c>
      <c r="AX13" s="8">
        <v>-9.5827358726939984</v>
      </c>
      <c r="AY13" s="8">
        <v>-7.9972370222958276</v>
      </c>
      <c r="AZ13" s="8">
        <v>-32.978155262148981</v>
      </c>
      <c r="BA13" s="8">
        <v>-11.221822016048462</v>
      </c>
      <c r="BB13" s="8">
        <v>-15.63106203612706</v>
      </c>
    </row>
    <row r="14" spans="1:54" ht="5.25" customHeight="1">
      <c r="A14" s="53">
        <v>9</v>
      </c>
      <c r="E14" s="35"/>
      <c r="G14" s="53">
        <f t="shared" si="0"/>
        <v>9</v>
      </c>
    </row>
    <row r="15" spans="1:54">
      <c r="A15" s="53">
        <v>10</v>
      </c>
      <c r="B15" s="6" t="s">
        <v>188</v>
      </c>
      <c r="C15" s="9">
        <f t="shared" ref="C15:C23" si="2">HLOOKUP($C$6,$H$6:$BX$23,$G15,FALSE)</f>
        <v>-4.7794681162986485</v>
      </c>
      <c r="D15" s="9">
        <f t="shared" ref="D15:D23" si="3">HLOOKUP($D$6,$H$6:$BX$23,$G15,FALSE)</f>
        <v>-18.156452477962681</v>
      </c>
      <c r="E15" s="63" t="s">
        <v>148</v>
      </c>
      <c r="G15" s="53">
        <f t="shared" si="0"/>
        <v>10</v>
      </c>
      <c r="H15" s="6" t="s">
        <v>188</v>
      </c>
      <c r="I15" s="9">
        <v>-6.6308545700000083</v>
      </c>
      <c r="J15" s="9">
        <v>-17.834364060000002</v>
      </c>
      <c r="K15" s="9">
        <v>-21.318247579999998</v>
      </c>
      <c r="L15" s="9">
        <v>-138.73017600999998</v>
      </c>
      <c r="M15" s="9">
        <v>-20.192410980000002</v>
      </c>
      <c r="N15" s="9">
        <v>-22.432699890000002</v>
      </c>
      <c r="O15" s="9">
        <v>-18.421275529999996</v>
      </c>
      <c r="P15" s="9">
        <v>-27.308815910000014</v>
      </c>
      <c r="Q15" s="9">
        <v>-16.977818299999992</v>
      </c>
      <c r="R15" s="9">
        <v>-26.800124760000003</v>
      </c>
      <c r="S15" s="9">
        <v>-16.719940419999993</v>
      </c>
      <c r="T15" s="9">
        <v>-24.917197690000002</v>
      </c>
      <c r="U15" s="9">
        <v>-19.604401199999995</v>
      </c>
      <c r="V15" s="9">
        <v>2.623021210000001</v>
      </c>
      <c r="W15" s="9">
        <v>-14.572214219999999</v>
      </c>
      <c r="X15" s="9">
        <v>-102.60787458999999</v>
      </c>
      <c r="Y15" s="9">
        <f t="shared" ref="Y15:AH15" si="4">SUM(Y9:Y13)</f>
        <v>-12.443038860000001</v>
      </c>
      <c r="Z15" s="9">
        <f t="shared" si="4"/>
        <v>-25.462410850000005</v>
      </c>
      <c r="AA15" s="9">
        <f t="shared" si="4"/>
        <v>-14.737552370000003</v>
      </c>
      <c r="AB15" s="9">
        <f t="shared" si="4"/>
        <v>-44.944271349999994</v>
      </c>
      <c r="AC15" s="9">
        <f>SUM(AC9:AC13)</f>
        <v>-15.2278413</v>
      </c>
      <c r="AD15" s="9">
        <f t="shared" si="4"/>
        <v>-17.997345240000001</v>
      </c>
      <c r="AE15" s="9">
        <f t="shared" si="4"/>
        <v>-23.310579799999999</v>
      </c>
      <c r="AF15" s="9">
        <f t="shared" si="4"/>
        <v>-93.356927600000006</v>
      </c>
      <c r="AG15" s="9">
        <f>SUM(AG9:AG13)</f>
        <v>-49.377285399999998</v>
      </c>
      <c r="AH15" s="9">
        <f t="shared" si="4"/>
        <v>-12.911768689999999</v>
      </c>
      <c r="AI15" s="9">
        <f t="shared" ref="AI15:BB15" si="5">SUM(AI9:AI13)</f>
        <v>-18.343538010000007</v>
      </c>
      <c r="AJ15" s="9">
        <f t="shared" si="5"/>
        <v>-20.672808236935449</v>
      </c>
      <c r="AK15" s="9">
        <f t="shared" si="5"/>
        <v>-36.077653113024901</v>
      </c>
      <c r="AL15" s="9">
        <f t="shared" si="5"/>
        <v>-33.462068015730701</v>
      </c>
      <c r="AM15" s="9">
        <f t="shared" si="5"/>
        <v>799.09281796000573</v>
      </c>
      <c r="AN15" s="9">
        <f t="shared" si="5"/>
        <v>-176.04105226939856</v>
      </c>
      <c r="AO15" s="9">
        <f t="shared" si="5"/>
        <v>-23.90028385635889</v>
      </c>
      <c r="AP15" s="9">
        <f t="shared" ref="AP15" si="6">SUM(AP9:AP13)</f>
        <v>-31.275214555974479</v>
      </c>
      <c r="AQ15" s="9">
        <f t="shared" si="5"/>
        <v>-26.169999999999995</v>
      </c>
      <c r="AR15" s="9">
        <f>SUM(AR9:AR13)</f>
        <v>-15.508240835945463</v>
      </c>
      <c r="AS15" s="9">
        <f t="shared" si="5"/>
        <v>-12.089963466177705</v>
      </c>
      <c r="AT15" s="9">
        <f t="shared" si="5"/>
        <v>94.160395579999999</v>
      </c>
      <c r="AU15" s="9">
        <f t="shared" si="5"/>
        <v>9.453267060160405</v>
      </c>
      <c r="AV15" s="9">
        <f t="shared" si="5"/>
        <v>-20.655675513091243</v>
      </c>
      <c r="AW15" s="9">
        <f t="shared" si="5"/>
        <v>-8.7468030488326534</v>
      </c>
      <c r="AX15" s="9">
        <f t="shared" si="5"/>
        <v>-4.7794681162986485</v>
      </c>
      <c r="AY15" s="9">
        <f t="shared" si="5"/>
        <v>-2.5038539532354926</v>
      </c>
      <c r="AZ15" s="9">
        <f t="shared" si="5"/>
        <v>-38.282566042467892</v>
      </c>
      <c r="BA15" s="9">
        <f t="shared" si="5"/>
        <v>-10.686249768544844</v>
      </c>
      <c r="BB15" s="9">
        <f t="shared" si="5"/>
        <v>-18.156452477962681</v>
      </c>
    </row>
    <row r="16" spans="1:54" ht="5.25" customHeight="1">
      <c r="A16" s="53">
        <v>11</v>
      </c>
      <c r="E16" s="35"/>
      <c r="G16" s="53">
        <f t="shared" si="0"/>
        <v>11</v>
      </c>
    </row>
    <row r="17" spans="1:55">
      <c r="A17" s="53">
        <v>12</v>
      </c>
      <c r="B17" s="6" t="s">
        <v>189</v>
      </c>
      <c r="C17" s="9">
        <f t="shared" si="2"/>
        <v>84.276083173457749</v>
      </c>
      <c r="D17" s="9">
        <f t="shared" si="3"/>
        <v>52.910935740635907</v>
      </c>
      <c r="E17" s="63">
        <f t="shared" ref="E17:E23" si="7">+D17/C17-1</f>
        <v>-0.37217139491717754</v>
      </c>
      <c r="G17" s="53">
        <f t="shared" si="0"/>
        <v>12</v>
      </c>
      <c r="H17" s="6" t="s">
        <v>189</v>
      </c>
      <c r="I17" s="9">
        <v>71.170038330000011</v>
      </c>
      <c r="J17" s="9">
        <v>76.810161420000014</v>
      </c>
      <c r="K17" s="9">
        <v>49.311618929999987</v>
      </c>
      <c r="L17" s="9">
        <v>-27.623299349999996</v>
      </c>
      <c r="M17" s="9">
        <v>25.133030360000038</v>
      </c>
      <c r="N17" s="9">
        <v>65.548682040000045</v>
      </c>
      <c r="O17" s="9">
        <v>113.60699054999998</v>
      </c>
      <c r="P17" s="9">
        <v>95.746828170000015</v>
      </c>
      <c r="Q17" s="9">
        <v>88.66899841</v>
      </c>
      <c r="R17" s="9">
        <v>68.086533309999965</v>
      </c>
      <c r="S17" s="9">
        <v>40.708289729999997</v>
      </c>
      <c r="T17" s="9">
        <v>66.803174149999961</v>
      </c>
      <c r="U17" s="9">
        <v>72.245809979999947</v>
      </c>
      <c r="V17" s="9">
        <v>97.849836280000019</v>
      </c>
      <c r="W17" s="9">
        <v>94.273412179999951</v>
      </c>
      <c r="X17" s="9">
        <v>48.758042970000048</v>
      </c>
      <c r="Y17" s="9">
        <v>90.744920930000035</v>
      </c>
      <c r="Z17" s="9">
        <v>65.639307059999965</v>
      </c>
      <c r="AA17" s="9">
        <v>83.029694280000029</v>
      </c>
      <c r="AB17" s="9">
        <f>99.94054904-AB40</f>
        <v>93.559032579999993</v>
      </c>
      <c r="AC17" s="9">
        <f>85.56234492-AC40</f>
        <v>83.69173524</v>
      </c>
      <c r="AD17" s="9">
        <v>81.263724620000033</v>
      </c>
      <c r="AE17" s="9">
        <f>81.32811843-AE40</f>
        <v>87.324650640000002</v>
      </c>
      <c r="AF17" s="9">
        <v>21.793171331313715</v>
      </c>
      <c r="AG17" s="9">
        <f>62.3968582-AG40</f>
        <v>63.109089509999997</v>
      </c>
      <c r="AH17" s="9">
        <f>72.1701592-AH40</f>
        <v>79.320968449999995</v>
      </c>
      <c r="AI17" s="9">
        <f>88.03666669-AI40</f>
        <v>91.066392160000007</v>
      </c>
      <c r="AJ17" s="9">
        <f>+-90.3962678490674-AJ40</f>
        <v>91.736542920932564</v>
      </c>
      <c r="AK17" s="9">
        <f>38.0623140364472-AK40</f>
        <v>37.867890736447201</v>
      </c>
      <c r="AL17" s="9">
        <f>32.8849414708408-AL40</f>
        <v>34.078006910840791</v>
      </c>
      <c r="AM17" s="9">
        <f>803.295471804277-AM40</f>
        <v>800.89430201427695</v>
      </c>
      <c r="AN17" s="9">
        <f>+-70.4643826836201-AN40</f>
        <v>-73.769562153620086</v>
      </c>
      <c r="AO17" s="9">
        <v>52.793280604383298</v>
      </c>
      <c r="AP17" s="9">
        <v>53.43652703288933</v>
      </c>
      <c r="AQ17" s="9">
        <v>109.08</v>
      </c>
      <c r="AR17" s="9">
        <f>180.015401873629-AR40</f>
        <v>162.16533593362897</v>
      </c>
      <c r="AS17" s="9">
        <f>122.34237741378-AS40</f>
        <v>113.36032741377998</v>
      </c>
      <c r="AT17" s="9">
        <f>173.11-AT40</f>
        <v>186.96048632000003</v>
      </c>
      <c r="AU17" s="9">
        <f>175.811279357242-AU40</f>
        <v>145.10802060724203</v>
      </c>
      <c r="AV17" s="9">
        <v>70.814463995710923</v>
      </c>
      <c r="AW17" s="9">
        <v>78.795802483019429</v>
      </c>
      <c r="AX17" s="9">
        <v>84.276083173457749</v>
      </c>
      <c r="AY17" s="9">
        <v>99.260223972873206</v>
      </c>
      <c r="AZ17" s="9">
        <v>61.567968446898135</v>
      </c>
      <c r="BA17" s="9">
        <v>97.897836564343422</v>
      </c>
      <c r="BB17" s="9">
        <v>52.910935740635907</v>
      </c>
    </row>
    <row r="18" spans="1:55" ht="5.25" customHeight="1">
      <c r="A18" s="53">
        <v>13</v>
      </c>
      <c r="G18" s="53">
        <f t="shared" si="0"/>
        <v>13</v>
      </c>
    </row>
    <row r="19" spans="1:55">
      <c r="A19" s="53">
        <v>14</v>
      </c>
      <c r="B19" s="5" t="s">
        <v>190</v>
      </c>
      <c r="C19" s="8">
        <f t="shared" si="2"/>
        <v>-22.106215980229553</v>
      </c>
      <c r="D19" s="8">
        <f t="shared" si="3"/>
        <v>-14.398395034357364</v>
      </c>
      <c r="E19" s="44">
        <f t="shared" si="7"/>
        <v>-0.34867210891115841</v>
      </c>
      <c r="G19" s="53">
        <f t="shared" si="0"/>
        <v>14</v>
      </c>
      <c r="H19" s="5" t="s">
        <v>190</v>
      </c>
      <c r="I19" s="8">
        <v>-19.63363708</v>
      </c>
      <c r="J19" s="8">
        <v>-5.2345776500000003</v>
      </c>
      <c r="K19" s="8">
        <v>-31.107243130000001</v>
      </c>
      <c r="L19" s="8">
        <v>-53.664444459999999</v>
      </c>
      <c r="M19" s="8">
        <v>-18.16355287</v>
      </c>
      <c r="N19" s="8">
        <v>-15.449120819999997</v>
      </c>
      <c r="O19" s="8">
        <v>-37.890691470000007</v>
      </c>
      <c r="P19" s="8">
        <v>-28.099890070000001</v>
      </c>
      <c r="Q19" s="8">
        <v>-20.475529990000002</v>
      </c>
      <c r="R19" s="8">
        <v>-15.959445620000002</v>
      </c>
      <c r="S19" s="8">
        <v>-10.37750636</v>
      </c>
      <c r="T19" s="8">
        <v>-20.138336279999997</v>
      </c>
      <c r="U19" s="8">
        <v>-19.51456001</v>
      </c>
      <c r="V19" s="8">
        <v>-18.404707349999999</v>
      </c>
      <c r="W19" s="8">
        <v>-24.271699469999998</v>
      </c>
      <c r="X19" s="8">
        <v>24.603435990000001</v>
      </c>
      <c r="Y19" s="8">
        <v>-24.868095619999998</v>
      </c>
      <c r="Z19" s="8">
        <v>-17.507565499999998</v>
      </c>
      <c r="AA19" s="8">
        <v>-23.21371285</v>
      </c>
      <c r="AB19" s="8">
        <f>+-32.56690244-AB42</f>
        <v>-31.166902440000001</v>
      </c>
      <c r="AC19" s="8">
        <v>-22.319179689999999</v>
      </c>
      <c r="AD19" s="8">
        <v>-20.05861646</v>
      </c>
      <c r="AE19" s="8">
        <v>-23.721098949999998</v>
      </c>
      <c r="AF19" s="8">
        <v>-4.9040871400000006</v>
      </c>
      <c r="AG19" s="8">
        <v>-16.086163970000001</v>
      </c>
      <c r="AH19" s="8">
        <v>-20.604219349999997</v>
      </c>
      <c r="AI19" s="8">
        <v>-24.01398945</v>
      </c>
      <c r="AJ19" s="8">
        <f>27.5181410060612-AJ42</f>
        <v>-25.436300393938801</v>
      </c>
      <c r="AK19" s="8">
        <f>+-79.2784275638755-AK42</f>
        <v>-74.396957033875495</v>
      </c>
      <c r="AL19" s="8">
        <f>+-21.3957580661245-AL42</f>
        <v>-18.134583996124501</v>
      </c>
      <c r="AM19" s="8">
        <f>+-202.394526473331-AM42</f>
        <v>-193.42158571333101</v>
      </c>
      <c r="AN19" s="8">
        <f>18.0765510950566-AN42</f>
        <v>15.886317095056601</v>
      </c>
      <c r="AO19" s="8">
        <f>+-6.38948016242481-AO42</f>
        <v>-13.82311758242481</v>
      </c>
      <c r="AP19" s="8">
        <v>-13.464414997421038</v>
      </c>
      <c r="AQ19" s="8">
        <v>-28.65</v>
      </c>
      <c r="AR19" s="8">
        <f>+-43.8018539367949-AR42</f>
        <v>-40.874391956794895</v>
      </c>
      <c r="AS19" s="8">
        <f>+-30.3638468054852-AS42</f>
        <v>-29.754651475485201</v>
      </c>
      <c r="AT19" s="8">
        <f>-41.9-AT42</f>
        <v>-49.237787169999997</v>
      </c>
      <c r="AU19" s="8">
        <v>-36.887290267886129</v>
      </c>
      <c r="AV19" s="8">
        <v>-20.21331412082408</v>
      </c>
      <c r="AW19" s="8">
        <v>-20.483441256209641</v>
      </c>
      <c r="AX19" s="8">
        <v>-22.106215980229553</v>
      </c>
      <c r="AY19" s="8">
        <v>-25.721151226954841</v>
      </c>
      <c r="AZ19" s="8">
        <v>-9.77150102011041</v>
      </c>
      <c r="BA19" s="8">
        <v>-24.126407533044876</v>
      </c>
      <c r="BB19" s="8">
        <v>-14.398395034357364</v>
      </c>
    </row>
    <row r="20" spans="1:55" ht="5.25" customHeight="1">
      <c r="A20" s="53">
        <v>15</v>
      </c>
      <c r="E20" s="76"/>
      <c r="G20" s="53">
        <f t="shared" si="0"/>
        <v>15</v>
      </c>
    </row>
    <row r="21" spans="1:55">
      <c r="A21" s="53">
        <v>16</v>
      </c>
      <c r="B21" s="3" t="s">
        <v>191</v>
      </c>
      <c r="C21" s="16">
        <f t="shared" si="2"/>
        <v>62.1698671932282</v>
      </c>
      <c r="D21" s="16">
        <f t="shared" si="3"/>
        <v>38.512540706278543</v>
      </c>
      <c r="E21" s="45">
        <f t="shared" si="7"/>
        <v>-0.38052721607754236</v>
      </c>
      <c r="G21" s="53">
        <f t="shared" si="0"/>
        <v>16</v>
      </c>
      <c r="H21" s="3" t="s">
        <v>191</v>
      </c>
      <c r="I21" s="16">
        <v>51.536401250000011</v>
      </c>
      <c r="J21" s="16">
        <v>71.575583770000009</v>
      </c>
      <c r="K21" s="16">
        <v>18.204375799999987</v>
      </c>
      <c r="L21" s="16">
        <v>-81.287743809999995</v>
      </c>
      <c r="M21" s="16">
        <v>6.9694774900000382</v>
      </c>
      <c r="N21" s="16">
        <v>50.099561220000048</v>
      </c>
      <c r="O21" s="16">
        <v>75.71629907999997</v>
      </c>
      <c r="P21" s="16">
        <v>67.646938100000014</v>
      </c>
      <c r="Q21" s="16">
        <v>68.193468420000002</v>
      </c>
      <c r="R21" s="16">
        <v>52.127087689999961</v>
      </c>
      <c r="S21" s="16">
        <v>30.330783369999999</v>
      </c>
      <c r="T21" s="16">
        <v>46.664837869999964</v>
      </c>
      <c r="U21" s="16">
        <f>+U17+U19</f>
        <v>52.731249969999951</v>
      </c>
      <c r="V21" s="16">
        <f t="shared" ref="V21:AB21" si="8">+V17+V19</f>
        <v>79.445128930000024</v>
      </c>
      <c r="W21" s="16">
        <f t="shared" si="8"/>
        <v>70.00171270999995</v>
      </c>
      <c r="X21" s="16">
        <f t="shared" si="8"/>
        <v>73.361478960000056</v>
      </c>
      <c r="Y21" s="16">
        <f t="shared" si="8"/>
        <v>65.876825310000044</v>
      </c>
      <c r="Z21" s="16">
        <f t="shared" si="8"/>
        <v>48.131741559999966</v>
      </c>
      <c r="AA21" s="16">
        <f t="shared" si="8"/>
        <v>59.815981430000029</v>
      </c>
      <c r="AB21" s="16">
        <f t="shared" si="8"/>
        <v>62.392130139999992</v>
      </c>
      <c r="AC21" s="16">
        <f>+AC17+AC19</f>
        <v>61.372555550000001</v>
      </c>
      <c r="AD21" s="16">
        <f t="shared" ref="AD21:AG21" si="9">+AD17+AD19</f>
        <v>61.205108160000037</v>
      </c>
      <c r="AE21" s="16">
        <f t="shared" si="9"/>
        <v>63.603551690000003</v>
      </c>
      <c r="AF21" s="16">
        <f t="shared" si="9"/>
        <v>16.889084191313714</v>
      </c>
      <c r="AG21" s="16">
        <f t="shared" si="9"/>
        <v>47.022925539999996</v>
      </c>
      <c r="AH21" s="16">
        <f>+AH17+AH19</f>
        <v>58.716749100000001</v>
      </c>
      <c r="AI21" s="16">
        <f>62.20715213-AI46</f>
        <v>64.605734240000004</v>
      </c>
      <c r="AJ21" s="16">
        <f t="shared" ref="AJ21" si="10">+AJ17+AJ19</f>
        <v>66.30024252699377</v>
      </c>
      <c r="AK21" s="16">
        <f>+-41.2161135274282-AK44</f>
        <v>-36.529066297428194</v>
      </c>
      <c r="AL21" s="16">
        <f>32.8849414708408-AL44</f>
        <v>37.339180980840787</v>
      </c>
      <c r="AM21" s="16">
        <f>600.900945330946-AM44</f>
        <v>607.47271630094599</v>
      </c>
      <c r="AN21" s="16">
        <f>+-52.3878315885635-AN44</f>
        <v>-57.883245058563475</v>
      </c>
      <c r="AO21" s="16">
        <f>55.8799637719585-AO44</f>
        <v>38.970163021958498</v>
      </c>
      <c r="AP21" s="16">
        <v>40</v>
      </c>
      <c r="AQ21" s="16">
        <v>80.400000000000006</v>
      </c>
      <c r="AR21" s="16">
        <f>+AR17+AR19</f>
        <v>121.29094397683407</v>
      </c>
      <c r="AS21" s="16">
        <f>+AS17+AS19</f>
        <v>83.60567593829478</v>
      </c>
      <c r="AT21" s="16">
        <f>131.21-AT44</f>
        <v>137.72269915000001</v>
      </c>
      <c r="AU21" s="16">
        <v>108.24676475161203</v>
      </c>
      <c r="AV21" s="16">
        <v>50.601149874886858</v>
      </c>
      <c r="AW21" s="16">
        <v>58.312361226809784</v>
      </c>
      <c r="AX21" s="16">
        <v>62.1698671932282</v>
      </c>
      <c r="AY21" s="16">
        <v>73.539072745918347</v>
      </c>
      <c r="AZ21" s="16">
        <v>51.8</v>
      </c>
      <c r="BA21" s="16">
        <v>73.771429031298538</v>
      </c>
      <c r="BB21" s="16">
        <v>38.512540706278543</v>
      </c>
    </row>
    <row r="22" spans="1:55" ht="5.25" customHeight="1">
      <c r="A22" s="53">
        <v>17</v>
      </c>
      <c r="E22" s="85"/>
      <c r="G22" s="53">
        <f t="shared" si="0"/>
        <v>17</v>
      </c>
    </row>
    <row r="23" spans="1:55">
      <c r="A23" s="53">
        <v>18</v>
      </c>
      <c r="B23" s="5" t="s">
        <v>192</v>
      </c>
      <c r="C23" s="8">
        <f t="shared" si="2"/>
        <v>62.1698671932282</v>
      </c>
      <c r="D23" s="8">
        <f t="shared" si="3"/>
        <v>38.5125407062785</v>
      </c>
      <c r="E23" s="44">
        <f t="shared" si="7"/>
        <v>-0.38052721607754303</v>
      </c>
      <c r="G23" s="53">
        <f t="shared" si="0"/>
        <v>18</v>
      </c>
      <c r="H23" s="5" t="s">
        <v>192</v>
      </c>
      <c r="I23" s="8">
        <v>51.536401250000011</v>
      </c>
      <c r="J23" s="8">
        <v>71.575583770000009</v>
      </c>
      <c r="K23" s="8">
        <v>18.204375799999987</v>
      </c>
      <c r="L23" s="8">
        <v>-81.287743809999995</v>
      </c>
      <c r="M23" s="8">
        <v>6.9694774900000382</v>
      </c>
      <c r="N23" s="8">
        <v>50.099561220000048</v>
      </c>
      <c r="O23" s="8">
        <v>75.71629907999997</v>
      </c>
      <c r="P23" s="8">
        <v>71.02076169</v>
      </c>
      <c r="Q23" s="8">
        <v>72.197047319999996</v>
      </c>
      <c r="R23" s="8">
        <v>51.513318689999998</v>
      </c>
      <c r="S23" s="8">
        <v>29.363564220000001</v>
      </c>
      <c r="T23" s="8">
        <v>48.355100460000003</v>
      </c>
      <c r="U23" s="8">
        <v>56.902500880000005</v>
      </c>
      <c r="V23" s="8">
        <v>67.315819309999995</v>
      </c>
      <c r="W23" s="8">
        <v>70.133168250000011</v>
      </c>
      <c r="X23" s="8">
        <v>76.633404929999998</v>
      </c>
      <c r="Y23" s="8">
        <v>65.157573959999993</v>
      </c>
      <c r="Z23" s="8">
        <v>46.496960739999999</v>
      </c>
      <c r="AA23" s="8">
        <v>56.817234620000008</v>
      </c>
      <c r="AB23" s="8">
        <v>71.850721269999994</v>
      </c>
      <c r="AC23" s="8">
        <v>64.403329459999995</v>
      </c>
      <c r="AD23" s="8">
        <v>61.31662017</v>
      </c>
      <c r="AE23" s="8">
        <v>59.087229970000003</v>
      </c>
      <c r="AF23" s="8">
        <v>18.238692839152353</v>
      </c>
      <c r="AG23" s="8">
        <v>43.699793619999994</v>
      </c>
      <c r="AH23" s="8">
        <v>54.130137500000004</v>
      </c>
      <c r="AI23" s="8">
        <f>64.60573424-AI46</f>
        <v>67.004316350000011</v>
      </c>
      <c r="AJ23" s="8">
        <f>0.457418776993812-AJ46</f>
        <v>66.338387155693781</v>
      </c>
      <c r="AK23" s="8">
        <v>-38.892376677428295</v>
      </c>
      <c r="AL23" s="8">
        <v>35.09246243742836</v>
      </c>
      <c r="AM23" s="8">
        <v>604.15234692999991</v>
      </c>
      <c r="AN23" s="8">
        <f>+AN21-AN46</f>
        <v>-60.547201808563479</v>
      </c>
      <c r="AO23" s="8">
        <f t="shared" ref="AO23:AR23" si="11">+AO21-AO46</f>
        <v>30.710184041958499</v>
      </c>
      <c r="AP23" s="8">
        <f t="shared" si="11"/>
        <v>41.130482450000009</v>
      </c>
      <c r="AQ23" s="8">
        <f t="shared" si="11"/>
        <v>80.400000000000006</v>
      </c>
      <c r="AR23" s="8">
        <f t="shared" si="11"/>
        <v>113.68041595723406</v>
      </c>
      <c r="AS23" s="8">
        <f>87.9011691382947-AS46</f>
        <v>82.961184882994701</v>
      </c>
      <c r="AT23" s="8">
        <f>133.936079752048-AT46</f>
        <v>137.778572250548</v>
      </c>
      <c r="AU23" s="8">
        <f>117.717456127863-AU46</f>
        <v>108.17294215906301</v>
      </c>
      <c r="AV23" s="8">
        <f>53.932438174887-AV46</f>
        <v>50.605842419786974</v>
      </c>
      <c r="AW23" s="8">
        <f>58.6363040968098-AW46</f>
        <v>58.331451916909792</v>
      </c>
      <c r="AX23" s="8">
        <v>62.1698671932282</v>
      </c>
      <c r="AY23" s="8">
        <v>73.539072745918347</v>
      </c>
      <c r="AZ23" s="8">
        <f>53-AZ46</f>
        <v>51.643000000000001</v>
      </c>
      <c r="BA23" s="8">
        <v>73.771429031298538</v>
      </c>
      <c r="BB23" s="8">
        <v>38.5125407062785</v>
      </c>
    </row>
    <row r="24" spans="1:55">
      <c r="A24" s="53"/>
      <c r="AG24" s="43"/>
    </row>
    <row r="25" spans="1:55">
      <c r="A25" s="53"/>
      <c r="AQ25" s="43"/>
      <c r="AR25" s="43"/>
      <c r="AS25" s="43"/>
      <c r="AT25" s="43"/>
      <c r="AU25" s="43"/>
      <c r="AV25" s="43"/>
      <c r="AW25" s="43"/>
      <c r="AX25" s="43"/>
      <c r="AY25" s="43"/>
      <c r="AZ25" s="43"/>
      <c r="BA25" s="43"/>
      <c r="BB25" s="43"/>
      <c r="BC25" s="62"/>
    </row>
    <row r="26" spans="1:55">
      <c r="A26" s="53"/>
      <c r="U26" s="29"/>
      <c r="V26" s="29"/>
      <c r="W26" s="29"/>
      <c r="X26" s="29"/>
      <c r="Y26" s="29"/>
      <c r="Z26" s="29"/>
      <c r="AA26" s="29"/>
      <c r="AB26" s="29"/>
      <c r="AC26" s="29"/>
      <c r="AD26" s="29"/>
      <c r="AE26" s="29"/>
      <c r="AF26" s="29"/>
      <c r="AG26" s="29"/>
      <c r="AH26" s="29"/>
      <c r="AI26" s="29"/>
      <c r="AJ26" s="29"/>
      <c r="AK26" s="29"/>
      <c r="AL26" s="29"/>
      <c r="AM26" s="29"/>
      <c r="AN26" s="29"/>
      <c r="AO26" s="29"/>
    </row>
    <row r="27" spans="1:55">
      <c r="A27" s="53"/>
    </row>
    <row r="28" spans="1:55" ht="23.25">
      <c r="A28" s="53"/>
      <c r="B28" s="11" t="s">
        <v>29</v>
      </c>
      <c r="C28" s="12"/>
      <c r="D28" s="12"/>
      <c r="E28" s="12"/>
      <c r="H28" s="11" t="s">
        <v>29</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row>
    <row r="29" spans="1:55" ht="5.25" customHeight="1">
      <c r="A29" s="53"/>
    </row>
    <row r="30" spans="1:55" s="123" customFormat="1" ht="15.75" customHeight="1">
      <c r="A30" s="124">
        <v>1</v>
      </c>
      <c r="B30" s="3" t="s">
        <v>212</v>
      </c>
      <c r="C30" s="134" t="str">
        <f>+C6</f>
        <v>2Q24</v>
      </c>
      <c r="D30" s="134" t="str">
        <f>+D6</f>
        <v>2Q25</v>
      </c>
      <c r="E30" s="134" t="s">
        <v>100</v>
      </c>
      <c r="G30" s="124">
        <v>1</v>
      </c>
      <c r="H30" s="3" t="s">
        <v>212</v>
      </c>
      <c r="I30" s="134" t="s">
        <v>101</v>
      </c>
      <c r="J30" s="134" t="s">
        <v>102</v>
      </c>
      <c r="K30" s="134" t="s">
        <v>103</v>
      </c>
      <c r="L30" s="134" t="s">
        <v>104</v>
      </c>
      <c r="M30" s="134" t="s">
        <v>105</v>
      </c>
      <c r="N30" s="134" t="s">
        <v>106</v>
      </c>
      <c r="O30" s="134" t="s">
        <v>107</v>
      </c>
      <c r="P30" s="134" t="s">
        <v>108</v>
      </c>
      <c r="Q30" s="134" t="s">
        <v>109</v>
      </c>
      <c r="R30" s="134" t="s">
        <v>110</v>
      </c>
      <c r="S30" s="134" t="s">
        <v>111</v>
      </c>
      <c r="T30" s="134" t="s">
        <v>112</v>
      </c>
      <c r="U30" s="134" t="s">
        <v>113</v>
      </c>
      <c r="V30" s="134" t="s">
        <v>114</v>
      </c>
      <c r="W30" s="134" t="s">
        <v>115</v>
      </c>
      <c r="X30" s="134" t="s">
        <v>116</v>
      </c>
      <c r="Y30" s="134" t="s">
        <v>117</v>
      </c>
      <c r="Z30" s="134" t="s">
        <v>118</v>
      </c>
      <c r="AA30" s="134" t="s">
        <v>119</v>
      </c>
      <c r="AB30" s="134" t="s">
        <v>120</v>
      </c>
      <c r="AC30" s="134" t="s">
        <v>121</v>
      </c>
      <c r="AD30" s="134" t="s">
        <v>122</v>
      </c>
      <c r="AE30" s="134" t="s">
        <v>123</v>
      </c>
      <c r="AF30" s="134" t="s">
        <v>124</v>
      </c>
      <c r="AG30" s="134" t="s">
        <v>125</v>
      </c>
      <c r="AH30" s="134" t="s">
        <v>126</v>
      </c>
      <c r="AI30" s="134" t="s">
        <v>127</v>
      </c>
      <c r="AJ30" s="134" t="s">
        <v>128</v>
      </c>
      <c r="AK30" s="134" t="s">
        <v>129</v>
      </c>
      <c r="AL30" s="134" t="s">
        <v>130</v>
      </c>
      <c r="AM30" s="134" t="s">
        <v>131</v>
      </c>
      <c r="AN30" s="134" t="s">
        <v>132</v>
      </c>
      <c r="AO30" s="134" t="s">
        <v>133</v>
      </c>
      <c r="AP30" s="134" t="s">
        <v>134</v>
      </c>
      <c r="AQ30" s="134" t="s">
        <v>135</v>
      </c>
      <c r="AR30" s="134" t="s">
        <v>136</v>
      </c>
      <c r="AS30" s="134" t="s">
        <v>137</v>
      </c>
      <c r="AT30" s="134" t="s">
        <v>138</v>
      </c>
      <c r="AU30" s="134" t="s">
        <v>139</v>
      </c>
      <c r="AV30" s="134" t="s">
        <v>98</v>
      </c>
      <c r="AW30" s="134" t="s">
        <v>140</v>
      </c>
      <c r="AX30" s="134" t="s">
        <v>141</v>
      </c>
      <c r="AY30" s="134" t="s">
        <v>142</v>
      </c>
      <c r="AZ30" s="134" t="s">
        <v>99</v>
      </c>
      <c r="BA30" s="134" t="s">
        <v>236</v>
      </c>
      <c r="BB30" s="134" t="s">
        <v>237</v>
      </c>
    </row>
    <row r="31" spans="1:55" s="123" customFormat="1">
      <c r="A31" s="124">
        <v>2</v>
      </c>
      <c r="B31" s="3" t="s">
        <v>166</v>
      </c>
      <c r="C31" s="134"/>
      <c r="D31" s="134"/>
      <c r="E31" s="134"/>
      <c r="G31" s="124">
        <f>G30+1</f>
        <v>2</v>
      </c>
      <c r="H31" s="3" t="s">
        <v>166</v>
      </c>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row>
    <row r="32" spans="1:55" ht="5.25" customHeight="1">
      <c r="A32" s="53">
        <v>3</v>
      </c>
      <c r="G32" s="53">
        <f t="shared" ref="G32:G47" si="12">G31+1</f>
        <v>3</v>
      </c>
    </row>
    <row r="33" spans="1:54">
      <c r="A33" s="53">
        <v>4</v>
      </c>
      <c r="B33" s="5" t="s">
        <v>183</v>
      </c>
      <c r="C33" s="8">
        <f t="shared" ref="C33:C47" si="13">HLOOKUP($C$30,$H$30:$BZ$47,$G33,FALSE)</f>
        <v>0.46529090999999845</v>
      </c>
      <c r="D33" s="8">
        <f t="shared" ref="D33:D47" si="14">HLOOKUP($D$30,$H$30:$BZ$47,$G33,FALSE)</f>
        <v>0.51939604999999989</v>
      </c>
      <c r="E33" s="32">
        <f t="shared" ref="E33:E47" si="15">+D33/C33-1</f>
        <v>0.11628239202008395</v>
      </c>
      <c r="G33" s="53">
        <f t="shared" si="12"/>
        <v>4</v>
      </c>
      <c r="H33" s="5" t="s">
        <v>183</v>
      </c>
      <c r="I33" s="17"/>
      <c r="J33" s="17"/>
      <c r="K33" s="17"/>
      <c r="L33" s="17"/>
      <c r="M33" s="17"/>
      <c r="N33" s="17"/>
      <c r="O33" s="17"/>
      <c r="P33" s="17"/>
      <c r="Q33" s="8">
        <v>0.16734481000000001</v>
      </c>
      <c r="R33" s="8">
        <v>0.10720837999999999</v>
      </c>
      <c r="S33" s="8">
        <v>0.13487674000000002</v>
      </c>
      <c r="T33" s="8">
        <v>0.16597401000000001</v>
      </c>
      <c r="U33" s="8">
        <v>0.12006236000000001</v>
      </c>
      <c r="V33" s="8">
        <v>0.15038306000000001</v>
      </c>
      <c r="W33" s="8">
        <v>0.15893979</v>
      </c>
      <c r="X33" s="8">
        <v>0.20325471000000001</v>
      </c>
      <c r="Y33" s="8">
        <v>0.22173541999999999</v>
      </c>
      <c r="Z33" s="8">
        <v>0.21593708</v>
      </c>
      <c r="AA33" s="8">
        <v>0.29301841000000001</v>
      </c>
      <c r="AB33" s="8">
        <v>0.3</v>
      </c>
      <c r="AC33" s="8">
        <v>0.14140221000000003</v>
      </c>
      <c r="AD33" s="8">
        <v>7.2432910000000003E-2</v>
      </c>
      <c r="AE33" s="8">
        <v>0.10292943000000002</v>
      </c>
      <c r="AF33" s="8">
        <v>0.29090677999999998</v>
      </c>
      <c r="AG33" s="8">
        <v>0.13774836000000001</v>
      </c>
      <c r="AH33" s="8">
        <v>0.12062782000000001</v>
      </c>
      <c r="AI33" s="8">
        <v>0.30203630999999997</v>
      </c>
      <c r="AJ33" s="8">
        <v>0.15692397000000002</v>
      </c>
      <c r="AK33" s="8">
        <v>5.6700750000000001E-2</v>
      </c>
      <c r="AL33" s="8">
        <v>5.4609320000000031E-2</v>
      </c>
      <c r="AM33" s="8">
        <v>2.9457709999999984E-2</v>
      </c>
      <c r="AN33" s="8">
        <v>4.4933090000000009E-2</v>
      </c>
      <c r="AO33" s="8">
        <v>8.7136889999999995E-2</v>
      </c>
      <c r="AP33" s="8">
        <v>-0.26474429999999999</v>
      </c>
      <c r="AQ33" s="8">
        <v>0.22</v>
      </c>
      <c r="AR33" s="8">
        <v>0.34346562999999997</v>
      </c>
      <c r="AS33" s="8">
        <v>0.57678616000000005</v>
      </c>
      <c r="AT33" s="8">
        <v>0.45472809000000003</v>
      </c>
      <c r="AU33" s="8">
        <v>0.4872287099999999</v>
      </c>
      <c r="AV33" s="8">
        <f>18.48180084-AV9</f>
        <v>0.2610020200000136</v>
      </c>
      <c r="AW33" s="8">
        <f>15.29416582-AW9</f>
        <v>0.37370549000000253</v>
      </c>
      <c r="AX33" s="8">
        <f>14.07877301-AX9</f>
        <v>0.46529090999999845</v>
      </c>
      <c r="AY33" s="8">
        <v>0.64067929000000001</v>
      </c>
      <c r="AZ33" s="8">
        <f>9.1-AZ9</f>
        <v>0.49510469000000334</v>
      </c>
      <c r="BA33" s="8">
        <v>0.47704652000000003</v>
      </c>
      <c r="BB33" s="8">
        <v>0.51939604999999989</v>
      </c>
    </row>
    <row r="34" spans="1:54">
      <c r="A34" s="53">
        <v>5</v>
      </c>
      <c r="B34" s="5" t="s">
        <v>184</v>
      </c>
      <c r="C34" s="8">
        <f t="shared" si="13"/>
        <v>-5.080232350000017</v>
      </c>
      <c r="D34" s="8">
        <f t="shared" si="14"/>
        <v>-4.5494361999999997</v>
      </c>
      <c r="E34" s="32">
        <f t="shared" si="15"/>
        <v>-0.1044826522550717</v>
      </c>
      <c r="G34" s="53">
        <f t="shared" si="12"/>
        <v>5</v>
      </c>
      <c r="H34" s="5" t="s">
        <v>184</v>
      </c>
      <c r="I34" s="17"/>
      <c r="J34" s="17"/>
      <c r="K34" s="17"/>
      <c r="L34" s="17"/>
      <c r="M34" s="17"/>
      <c r="N34" s="17"/>
      <c r="O34" s="17"/>
      <c r="P34" s="17"/>
      <c r="Q34" s="8">
        <v>-5.4290698400000004</v>
      </c>
      <c r="R34" s="8">
        <v>-2.6430212500000003</v>
      </c>
      <c r="S34" s="8">
        <v>-3.1599592999999997</v>
      </c>
      <c r="T34" s="8">
        <v>-3.4266343500000005</v>
      </c>
      <c r="U34" s="8">
        <v>-3.1524754499999998</v>
      </c>
      <c r="V34" s="8">
        <v>-3.23840606</v>
      </c>
      <c r="W34" s="8">
        <v>-3.7317871299999998</v>
      </c>
      <c r="X34" s="8">
        <v>-4.6476371400000005</v>
      </c>
      <c r="Y34" s="8">
        <v>-4.4800314999999999</v>
      </c>
      <c r="Z34" s="8">
        <v>-4.6873543600000005</v>
      </c>
      <c r="AA34" s="8">
        <v>-4.5787013100000005</v>
      </c>
      <c r="AB34" s="8">
        <v>-4.5999999999999996</v>
      </c>
      <c r="AC34" s="8">
        <v>-4.5996143200000006</v>
      </c>
      <c r="AD34" s="8">
        <v>-8.8851827300000004</v>
      </c>
      <c r="AE34" s="8">
        <v>-7.0326609199999996</v>
      </c>
      <c r="AF34" s="8">
        <v>-6.6142838900000003</v>
      </c>
      <c r="AG34" s="8">
        <v>-6.8489455400000008</v>
      </c>
      <c r="AH34" s="8">
        <v>-6.6069460400000004</v>
      </c>
      <c r="AI34" s="8">
        <v>-6.9407399600000002</v>
      </c>
      <c r="AJ34" s="8">
        <v>-6.4448288399999996</v>
      </c>
      <c r="AK34" s="8">
        <v>-6.62607137</v>
      </c>
      <c r="AL34" s="8">
        <v>-6.2193137600000012</v>
      </c>
      <c r="AM34" s="8">
        <v>-6.6041082399999977</v>
      </c>
      <c r="AN34" s="8">
        <v>-6.0329441700000013</v>
      </c>
      <c r="AO34" s="8">
        <v>-6.2768358500000003</v>
      </c>
      <c r="AP34" s="8">
        <v>-5.8283171299999994</v>
      </c>
      <c r="AQ34" s="8">
        <v>-6.28</v>
      </c>
      <c r="AR34" s="8">
        <v>-5.6869517300000094</v>
      </c>
      <c r="AS34" s="8">
        <v>-5.8913562300000004</v>
      </c>
      <c r="AT34" s="8">
        <v>-5.6424730500000004</v>
      </c>
      <c r="AU34" s="8">
        <v>-5.9947677399999959</v>
      </c>
      <c r="AV34" s="8">
        <f>+-19.2211416493542-AV10</f>
        <v>-5.2946973200000009</v>
      </c>
      <c r="AW34" s="8">
        <f>-18.4-AW10</f>
        <v>-5.3548548301058965</v>
      </c>
      <c r="AX34" s="8">
        <f>-17.561106996495-AX10</f>
        <v>-5.080232350000017</v>
      </c>
      <c r="AY34" s="8">
        <v>-5.3912019300000003</v>
      </c>
      <c r="AZ34" s="8">
        <f>-17.1-AZ10</f>
        <v>-4.8888601596810908</v>
      </c>
      <c r="BA34" s="8">
        <v>-4.9031110399999998</v>
      </c>
      <c r="BB34" s="8">
        <v>-4.5494361999999997</v>
      </c>
    </row>
    <row r="35" spans="1:54" ht="11.1" customHeight="1">
      <c r="A35" s="53">
        <v>6</v>
      </c>
      <c r="B35" s="5" t="s">
        <v>185</v>
      </c>
      <c r="C35" s="8">
        <f t="shared" si="13"/>
        <v>-0.76410181000000144</v>
      </c>
      <c r="D35" s="8">
        <f t="shared" si="14"/>
        <v>0.82925749999999998</v>
      </c>
      <c r="E35" s="44" t="s">
        <v>148</v>
      </c>
      <c r="G35" s="53">
        <f t="shared" si="12"/>
        <v>6</v>
      </c>
      <c r="H35" s="5" t="s">
        <v>185</v>
      </c>
      <c r="I35" s="17"/>
      <c r="J35" s="17"/>
      <c r="K35" s="17"/>
      <c r="L35" s="17"/>
      <c r="M35" s="17"/>
      <c r="N35" s="17"/>
      <c r="O35" s="17"/>
      <c r="P35" s="17"/>
      <c r="Q35" s="8">
        <v>1.37017937</v>
      </c>
      <c r="R35" s="8">
        <v>5.1786280000000143E-2</v>
      </c>
      <c r="S35" s="8">
        <v>-0.63739566000000003</v>
      </c>
      <c r="T35" s="8">
        <v>0.54193233000000018</v>
      </c>
      <c r="U35" s="8">
        <v>1.7152532300000001</v>
      </c>
      <c r="V35" s="8">
        <v>-0.15405724000000004</v>
      </c>
      <c r="W35" s="8">
        <v>-4.9148570000000009E-2</v>
      </c>
      <c r="X35" s="8">
        <v>0.7605646800000001</v>
      </c>
      <c r="Y35" s="8">
        <v>-0.19138833000000002</v>
      </c>
      <c r="Z35" s="8">
        <v>-0.64872458000000011</v>
      </c>
      <c r="AA35" s="8">
        <v>-0.36723388000000001</v>
      </c>
      <c r="AB35" s="8">
        <v>-0.7</v>
      </c>
      <c r="AC35" s="8">
        <v>0.74991217999999993</v>
      </c>
      <c r="AD35" s="8">
        <v>0.29622432000000004</v>
      </c>
      <c r="AE35" s="8">
        <v>-1.03815916</v>
      </c>
      <c r="AF35" s="8">
        <v>0.91169089000000003</v>
      </c>
      <c r="AG35" s="8">
        <v>-1.33876522</v>
      </c>
      <c r="AH35" s="8">
        <v>-1.4948663100000001</v>
      </c>
      <c r="AI35" s="8">
        <v>-0.18466715999999991</v>
      </c>
      <c r="AJ35" s="8">
        <v>-0.18658278000000017</v>
      </c>
      <c r="AK35" s="8">
        <v>-1.01300134</v>
      </c>
      <c r="AL35" s="8">
        <v>-0.36018585000000042</v>
      </c>
      <c r="AM35" s="8">
        <v>-1.5289263600000003</v>
      </c>
      <c r="AN35" s="8">
        <v>1.2431431700000002</v>
      </c>
      <c r="AO35" s="8">
        <v>1.18526</v>
      </c>
      <c r="AP35" s="8">
        <v>-0.93457182999999999</v>
      </c>
      <c r="AQ35" s="8">
        <v>-0.52</v>
      </c>
      <c r="AR35" s="8">
        <v>0.92341164000000031</v>
      </c>
      <c r="AS35" s="8">
        <v>0.29978549999999993</v>
      </c>
      <c r="AT35" s="8">
        <v>1.5872115600000005</v>
      </c>
      <c r="AU35" s="8">
        <v>-2.0169218100000004</v>
      </c>
      <c r="AV35" s="8">
        <f>+-0.511666419629807-AV11</f>
        <v>0.31644937999999934</v>
      </c>
      <c r="AW35" s="8">
        <f>0.6-AW11</f>
        <v>-1.9471766701931625E-2</v>
      </c>
      <c r="AX35" s="8">
        <f>-0.425997847109671-AX11</f>
        <v>-0.76410181000000144</v>
      </c>
      <c r="AY35" s="8">
        <v>1.0085518899999992</v>
      </c>
      <c r="AZ35" s="8">
        <f>-4.9-AZ11</f>
        <v>-0.40000000000000036</v>
      </c>
      <c r="BA35" s="8">
        <v>0.64844376000000059</v>
      </c>
      <c r="BB35" s="8">
        <v>0.82925749999999998</v>
      </c>
    </row>
    <row r="36" spans="1:54">
      <c r="A36" s="53">
        <v>7</v>
      </c>
      <c r="B36" s="5" t="s">
        <v>187</v>
      </c>
      <c r="C36" s="8">
        <f t="shared" si="13"/>
        <v>-1.9098621800000006</v>
      </c>
      <c r="D36" s="8">
        <f t="shared" si="14"/>
        <v>-1.2411380799999996</v>
      </c>
      <c r="E36" s="44">
        <f t="shared" si="15"/>
        <v>-0.3501425951059991</v>
      </c>
      <c r="G36" s="53">
        <f t="shared" si="12"/>
        <v>7</v>
      </c>
      <c r="H36" s="5" t="s">
        <v>187</v>
      </c>
      <c r="I36" s="17"/>
      <c r="J36" s="17"/>
      <c r="K36" s="17"/>
      <c r="L36" s="17"/>
      <c r="M36" s="17"/>
      <c r="N36" s="17"/>
      <c r="O36" s="17"/>
      <c r="P36" s="17"/>
      <c r="Q36" s="8">
        <v>8.1903610000000002E-2</v>
      </c>
      <c r="R36" s="8">
        <v>-0.66449632999999997</v>
      </c>
      <c r="S36" s="8">
        <v>-0.93240374000000004</v>
      </c>
      <c r="T36" s="8">
        <v>-2.4909673299999997</v>
      </c>
      <c r="U36" s="8">
        <v>-9.0029509999999993E-2</v>
      </c>
      <c r="V36" s="8">
        <v>-0.27538590000000007</v>
      </c>
      <c r="W36" s="8">
        <v>-0.86470300999999994</v>
      </c>
      <c r="X36" s="8">
        <v>1.29653671</v>
      </c>
      <c r="Y36" s="8">
        <v>-1.9960490000000004E-2</v>
      </c>
      <c r="Z36" s="8">
        <v>-0.42020362000000006</v>
      </c>
      <c r="AA36" s="8">
        <v>-0.77467500999999994</v>
      </c>
      <c r="AB36" s="8">
        <v>-0.3</v>
      </c>
      <c r="AC36" s="8">
        <v>1.4406092899999998</v>
      </c>
      <c r="AD36" s="8">
        <v>-0.87173263000000001</v>
      </c>
      <c r="AE36" s="8">
        <v>-2.2558826700000001</v>
      </c>
      <c r="AF36" s="8">
        <v>-1.4757564699999999</v>
      </c>
      <c r="AG36" s="8">
        <v>-1.0997716499999999</v>
      </c>
      <c r="AH36" s="8">
        <v>-1.2178332700000001</v>
      </c>
      <c r="AI36" s="8">
        <v>0.32024835999999812</v>
      </c>
      <c r="AJ36" s="8">
        <v>-180.23959754999998</v>
      </c>
      <c r="AK36" s="8">
        <v>-0.2058789</v>
      </c>
      <c r="AL36" s="8">
        <v>-0.33867450999999976</v>
      </c>
      <c r="AM36" s="8">
        <v>-0.57771620000000001</v>
      </c>
      <c r="AN36" s="8">
        <v>-1.2943995699999997</v>
      </c>
      <c r="AO36" s="8">
        <v>-1.59591174</v>
      </c>
      <c r="AP36" s="8">
        <v>-2.5424426100000002</v>
      </c>
      <c r="AQ36" s="8">
        <v>-1.38</v>
      </c>
      <c r="AR36" s="8">
        <v>-2.3350754799999986</v>
      </c>
      <c r="AS36" s="8">
        <v>-2.04601649</v>
      </c>
      <c r="AT36" s="8">
        <v>-1.9098621800000006</v>
      </c>
      <c r="AU36" s="8">
        <v>-2.3937623899999996</v>
      </c>
      <c r="AV36" s="8">
        <f>+-30.1084683641073-AV13</f>
        <v>-3.0666184300000801</v>
      </c>
      <c r="AW36" s="8">
        <f>-17.1-AW13</f>
        <v>-2.8516140743595209</v>
      </c>
      <c r="AX36" s="8">
        <v>-1.9098621800000006</v>
      </c>
      <c r="AY36" s="8">
        <v>-1.6148343399999998</v>
      </c>
      <c r="AZ36" s="8">
        <f>-35.5-AZ13</f>
        <v>-2.5218447378510191</v>
      </c>
      <c r="BA36" s="8">
        <v>-1.4133574999999998</v>
      </c>
      <c r="BB36" s="8">
        <v>-1.2411380799999996</v>
      </c>
    </row>
    <row r="37" spans="1:54" ht="5.0999999999999996" customHeight="1">
      <c r="A37" s="53">
        <v>8</v>
      </c>
      <c r="E37" s="61"/>
      <c r="G37" s="53">
        <f t="shared" si="12"/>
        <v>8</v>
      </c>
      <c r="S37" s="14"/>
    </row>
    <row r="38" spans="1:54">
      <c r="A38" s="53">
        <v>9</v>
      </c>
      <c r="B38" s="6" t="s">
        <v>188</v>
      </c>
      <c r="C38" s="9">
        <f t="shared" si="13"/>
        <v>-7.2889054300000211</v>
      </c>
      <c r="D38" s="9">
        <f t="shared" si="14"/>
        <v>-4.4419207299999997</v>
      </c>
      <c r="E38" s="63">
        <f t="shared" si="15"/>
        <v>-0.3905915267170661</v>
      </c>
      <c r="G38" s="53">
        <f t="shared" si="12"/>
        <v>9</v>
      </c>
      <c r="H38" s="6" t="s">
        <v>188</v>
      </c>
      <c r="I38" s="18"/>
      <c r="J38" s="18"/>
      <c r="K38" s="18"/>
      <c r="L38" s="18"/>
      <c r="M38" s="18"/>
      <c r="N38" s="18"/>
      <c r="O38" s="18"/>
      <c r="P38" s="18"/>
      <c r="Q38" s="9">
        <v>-3.8096420500000003</v>
      </c>
      <c r="R38" s="9">
        <v>-3.1485229200000004</v>
      </c>
      <c r="S38" s="9">
        <v>-4.5948819599999995</v>
      </c>
      <c r="T38" s="9">
        <v>-5.2096953399999997</v>
      </c>
      <c r="U38" s="9">
        <v>-1.4071893699999998</v>
      </c>
      <c r="V38" s="9">
        <v>-3.5174661399999998</v>
      </c>
      <c r="W38" s="9">
        <v>-4.4866989200000003</v>
      </c>
      <c r="X38" s="9">
        <v>-2.3872810400000004</v>
      </c>
      <c r="Y38" s="9">
        <f>SUM(Y33:Y36)</f>
        <v>-4.4696448999999996</v>
      </c>
      <c r="Z38" s="9">
        <f>SUM(Z33:Z36)</f>
        <v>-5.54034548</v>
      </c>
      <c r="AA38" s="9">
        <f>SUM(AA33:AA36)</f>
        <v>-5.4275917900000001</v>
      </c>
      <c r="AB38" s="9">
        <f>+SUM(AB33:AB36)</f>
        <v>-5.3</v>
      </c>
      <c r="AC38" s="9">
        <f>+SUM(AC33:AC36)</f>
        <v>-2.267690640000001</v>
      </c>
      <c r="AD38" s="9">
        <f t="shared" ref="AD38:AM38" si="16">+SUM(AD33:AD36)</f>
        <v>-9.3882581300000005</v>
      </c>
      <c r="AE38" s="9">
        <f t="shared" si="16"/>
        <v>-10.223773319999999</v>
      </c>
      <c r="AF38" s="9">
        <f t="shared" si="16"/>
        <v>-6.8874426900000003</v>
      </c>
      <c r="AG38" s="9">
        <f t="shared" si="16"/>
        <v>-9.1497340500000011</v>
      </c>
      <c r="AH38" s="9">
        <f t="shared" si="16"/>
        <v>-9.1990178</v>
      </c>
      <c r="AI38" s="9">
        <f t="shared" si="16"/>
        <v>-6.503122450000002</v>
      </c>
      <c r="AJ38" s="9">
        <f t="shared" si="16"/>
        <v>-186.71408519999997</v>
      </c>
      <c r="AK38" s="9">
        <f t="shared" si="16"/>
        <v>-7.7882508599999998</v>
      </c>
      <c r="AL38" s="9">
        <f t="shared" si="16"/>
        <v>-6.8635648000000016</v>
      </c>
      <c r="AM38" s="9">
        <f t="shared" si="16"/>
        <v>-8.6812930899999969</v>
      </c>
      <c r="AN38" s="9">
        <f>+SUM(AN33:AN36)</f>
        <v>-6.0392674800000012</v>
      </c>
      <c r="AO38" s="9">
        <f>+SUM(AO33:AO36)</f>
        <v>-6.6003506999999999</v>
      </c>
      <c r="AP38" s="9">
        <f>+SUM(AP33:AP36)</f>
        <v>-9.5700758700000002</v>
      </c>
      <c r="AQ38" s="9">
        <f t="shared" ref="AQ38:AR38" si="17">+SUM(AQ33:AQ36)</f>
        <v>-7.96</v>
      </c>
      <c r="AR38" s="9">
        <f t="shared" si="17"/>
        <v>-6.7551499400000079</v>
      </c>
      <c r="AS38" s="9">
        <v>-7.0608010600000011</v>
      </c>
      <c r="AT38" s="9">
        <f>SUM(AT33:AT36)</f>
        <v>-5.5103955800000008</v>
      </c>
      <c r="AU38" s="9">
        <f>SUM(AU33:AU36)</f>
        <v>-9.9182232299999953</v>
      </c>
      <c r="AV38" s="9">
        <f>+SUM(AV33:AV36)</f>
        <v>-7.7838643500000684</v>
      </c>
      <c r="AW38" s="9">
        <f t="shared" ref="AW38:BA38" si="18">SUM(AW33:AW36)</f>
        <v>-7.8522351811673463</v>
      </c>
      <c r="AX38" s="9">
        <f t="shared" si="18"/>
        <v>-7.2889054300000211</v>
      </c>
      <c r="AY38" s="9">
        <f t="shared" si="18"/>
        <v>-5.3568050899999999</v>
      </c>
      <c r="AZ38" s="9">
        <f t="shared" si="18"/>
        <v>-7.3156002075321069</v>
      </c>
      <c r="BA38" s="9">
        <f t="shared" si="18"/>
        <v>-5.1909782599999987</v>
      </c>
      <c r="BB38" s="9">
        <f t="shared" ref="BB38" si="19">SUM(BB33:BB36)</f>
        <v>-4.4419207299999997</v>
      </c>
    </row>
    <row r="39" spans="1:54" ht="5.25" customHeight="1">
      <c r="A39" s="53">
        <v>10</v>
      </c>
      <c r="G39" s="53">
        <f t="shared" si="12"/>
        <v>10</v>
      </c>
      <c r="S39" s="14"/>
    </row>
    <row r="40" spans="1:54">
      <c r="A40" s="53">
        <v>11</v>
      </c>
      <c r="B40" s="6" t="s">
        <v>189</v>
      </c>
      <c r="C40" s="9">
        <f t="shared" si="13"/>
        <v>4.3696157900000543</v>
      </c>
      <c r="D40" s="9">
        <f t="shared" si="14"/>
        <v>7.2395957299999756</v>
      </c>
      <c r="E40" s="63">
        <f>+D40/C40-1</f>
        <v>0.65680372781696805</v>
      </c>
      <c r="G40" s="53">
        <f t="shared" si="12"/>
        <v>11</v>
      </c>
      <c r="H40" s="6" t="s">
        <v>189</v>
      </c>
      <c r="I40" s="18"/>
      <c r="J40" s="18"/>
      <c r="K40" s="18"/>
      <c r="L40" s="18"/>
      <c r="M40" s="18"/>
      <c r="N40" s="18"/>
      <c r="O40" s="18"/>
      <c r="P40" s="18"/>
      <c r="Q40" s="9">
        <v>4.9281214299999956</v>
      </c>
      <c r="R40" s="9">
        <v>-1.9760049700000009</v>
      </c>
      <c r="S40" s="15">
        <v>3.5452988599999982</v>
      </c>
      <c r="T40" s="9">
        <v>0.89048269000000602</v>
      </c>
      <c r="U40" s="9">
        <v>1.9710638200000044</v>
      </c>
      <c r="V40" s="9">
        <v>-0.63885456000000218</v>
      </c>
      <c r="W40" s="9">
        <v>1.1608619299999976</v>
      </c>
      <c r="X40" s="9">
        <v>7.0620773800000043</v>
      </c>
      <c r="Y40" s="9">
        <v>-2.6982926100000091</v>
      </c>
      <c r="Z40" s="9">
        <v>-1.4643349499999951</v>
      </c>
      <c r="AA40" s="9">
        <v>-6.3483848100000015</v>
      </c>
      <c r="AB40" s="9">
        <f>+'Operating Income'!D65+AB38</f>
        <v>6.3815164599999976</v>
      </c>
      <c r="AC40" s="9">
        <v>1.8706096800000052</v>
      </c>
      <c r="AD40" s="9">
        <v>-0.85428449999999678</v>
      </c>
      <c r="AE40" s="9">
        <v>-5.9965322100000034</v>
      </c>
      <c r="AF40" s="9">
        <v>0.20896997999999201</v>
      </c>
      <c r="AG40" s="9">
        <v>-0.71223130999999817</v>
      </c>
      <c r="AH40" s="9">
        <v>-7.15080925</v>
      </c>
      <c r="AI40" s="9">
        <v>-3.0297254700000034</v>
      </c>
      <c r="AJ40" s="9">
        <v>-182.13281076999996</v>
      </c>
      <c r="AK40" s="9">
        <v>0.19442329999999686</v>
      </c>
      <c r="AL40" s="9">
        <v>-1.1930654399999883</v>
      </c>
      <c r="AM40" s="9">
        <v>2.4011697900000097</v>
      </c>
      <c r="AN40" s="9">
        <v>3.3051794699999775</v>
      </c>
      <c r="AO40" s="9">
        <v>9.4761633300000003</v>
      </c>
      <c r="AP40" s="9">
        <v>3.2966442299999859</v>
      </c>
      <c r="AQ40" s="9">
        <v>7.9</v>
      </c>
      <c r="AR40" s="9">
        <v>17.850065940000029</v>
      </c>
      <c r="AS40" s="9">
        <v>8.9820500000000099</v>
      </c>
      <c r="AT40" s="9">
        <v>-13.850486320000007</v>
      </c>
      <c r="AU40" s="9">
        <v>30.703258749999982</v>
      </c>
      <c r="AV40" s="9">
        <f>77.306889555711-AV17</f>
        <v>6.492425560000072</v>
      </c>
      <c r="AW40" s="9">
        <f>79.9175591730194-AW17</f>
        <v>1.1217566899999696</v>
      </c>
      <c r="AX40" s="9">
        <f>88.6456989634578-AX17</f>
        <v>4.3696157900000543</v>
      </c>
      <c r="AY40" s="9">
        <v>8.2649607800000098</v>
      </c>
      <c r="AZ40" s="9">
        <f>68.6-AZ17</f>
        <v>7.0320315531018593</v>
      </c>
      <c r="BA40" s="9">
        <v>7.7469672700000123</v>
      </c>
      <c r="BB40" s="9">
        <v>7.2395957299999756</v>
      </c>
    </row>
    <row r="41" spans="1:54" ht="5.25" customHeight="1">
      <c r="A41" s="53">
        <v>12</v>
      </c>
      <c r="E41" s="35"/>
      <c r="G41" s="53">
        <f t="shared" si="12"/>
        <v>12</v>
      </c>
      <c r="S41" s="14"/>
    </row>
    <row r="42" spans="1:54">
      <c r="A42" s="53">
        <v>13</v>
      </c>
      <c r="B42" s="5" t="s">
        <v>190</v>
      </c>
      <c r="C42" s="8">
        <f t="shared" si="13"/>
        <v>-5.0694434099999484</v>
      </c>
      <c r="D42" s="8">
        <f t="shared" si="14"/>
        <v>2.4724065799999999</v>
      </c>
      <c r="E42" s="44" t="s">
        <v>148</v>
      </c>
      <c r="G42" s="53">
        <f t="shared" si="12"/>
        <v>13</v>
      </c>
      <c r="H42" s="5" t="s">
        <v>190</v>
      </c>
      <c r="I42" s="17"/>
      <c r="J42" s="17"/>
      <c r="K42" s="17"/>
      <c r="L42" s="17"/>
      <c r="M42" s="17"/>
      <c r="N42" s="17"/>
      <c r="O42" s="17"/>
      <c r="P42" s="17"/>
      <c r="Q42" s="8">
        <v>2.9217945599999999</v>
      </c>
      <c r="R42" s="8">
        <v>1.28435225</v>
      </c>
      <c r="S42" s="8">
        <v>-5.4604279699999996</v>
      </c>
      <c r="T42" s="8">
        <v>1.2906353500000001</v>
      </c>
      <c r="U42" s="8">
        <v>5.8195076899999991</v>
      </c>
      <c r="V42" s="8">
        <v>-0.47814150999999994</v>
      </c>
      <c r="W42" s="8">
        <v>-0.95178185999999987</v>
      </c>
      <c r="X42" s="8">
        <v>-0.88224735999999992</v>
      </c>
      <c r="Y42" s="8">
        <v>1.2285207600000001</v>
      </c>
      <c r="Z42" s="8">
        <v>-1.9025937399999999</v>
      </c>
      <c r="AA42" s="8">
        <v>0.41217198999999999</v>
      </c>
      <c r="AB42" s="8">
        <v>-1.4</v>
      </c>
      <c r="AC42" s="8">
        <v>2.2914054600000004</v>
      </c>
      <c r="AD42" s="8">
        <v>1.02432743</v>
      </c>
      <c r="AE42" s="8">
        <v>-2.9144535899999999</v>
      </c>
      <c r="AF42" s="8">
        <v>2.3853569299999995</v>
      </c>
      <c r="AG42" s="8">
        <v>-5.8510186199999996</v>
      </c>
      <c r="AH42" s="8">
        <v>-1.8987026599999999</v>
      </c>
      <c r="AI42" s="8">
        <v>-1.8155251099999998</v>
      </c>
      <c r="AJ42" s="8">
        <v>52.9544414</v>
      </c>
      <c r="AK42" s="8">
        <v>-4.8814705299999996</v>
      </c>
      <c r="AL42" s="8">
        <v>-3.2611740699999983</v>
      </c>
      <c r="AM42" s="8">
        <v>-8.9729407600000002</v>
      </c>
      <c r="AN42" s="8">
        <v>2.1902339999999993</v>
      </c>
      <c r="AO42" s="8">
        <v>7.4336374200000002</v>
      </c>
      <c r="AP42" s="8">
        <v>-5.5621498699999998</v>
      </c>
      <c r="AQ42" s="8">
        <v>-7.66</v>
      </c>
      <c r="AR42" s="8">
        <v>-2.9274619800000012</v>
      </c>
      <c r="AS42" s="8">
        <v>-0.60919532999999981</v>
      </c>
      <c r="AT42" s="8">
        <v>7.3377871700000004</v>
      </c>
      <c r="AU42" s="8">
        <v>-14.526116430000002</v>
      </c>
      <c r="AV42" s="8">
        <f>+-21.0674417908241-AV19</f>
        <v>-0.85412767000001821</v>
      </c>
      <c r="AW42" s="8">
        <f>-21.0884993362096-AW19</f>
        <v>-0.60505807999996009</v>
      </c>
      <c r="AX42" s="8">
        <f>-27.1756593902295-AX19</f>
        <v>-5.0694434099999484</v>
      </c>
      <c r="AY42" s="8">
        <v>0.91779000999999916</v>
      </c>
      <c r="AZ42" s="8">
        <v>-4.7386596500000007</v>
      </c>
      <c r="BA42" s="8">
        <v>0.87169969000000014</v>
      </c>
      <c r="BB42" s="8">
        <v>2.4724065799999999</v>
      </c>
    </row>
    <row r="43" spans="1:54" ht="5.25" customHeight="1">
      <c r="A43" s="53">
        <v>14</v>
      </c>
      <c r="E43" s="67"/>
      <c r="G43" s="53">
        <f t="shared" si="12"/>
        <v>14</v>
      </c>
      <c r="S43" s="14"/>
    </row>
    <row r="44" spans="1:54">
      <c r="A44" s="53">
        <v>15</v>
      </c>
      <c r="B44" s="3" t="s">
        <v>191</v>
      </c>
      <c r="C44" s="16">
        <f t="shared" si="13"/>
        <v>-0.69982761999990117</v>
      </c>
      <c r="D44" s="16">
        <f t="shared" si="14"/>
        <v>9.7120023099999742</v>
      </c>
      <c r="E44" s="45">
        <f t="shared" si="15"/>
        <v>-14.877706498639402</v>
      </c>
      <c r="G44" s="53">
        <f t="shared" si="12"/>
        <v>15</v>
      </c>
      <c r="H44" s="3" t="s">
        <v>191</v>
      </c>
      <c r="I44" s="10"/>
      <c r="J44" s="10"/>
      <c r="K44" s="10"/>
      <c r="L44" s="10"/>
      <c r="M44" s="10"/>
      <c r="N44" s="10"/>
      <c r="O44" s="10"/>
      <c r="P44" s="10"/>
      <c r="Q44" s="10">
        <v>7.5692857599999961</v>
      </c>
      <c r="R44" s="16">
        <v>-0.41102250000000096</v>
      </c>
      <c r="S44" s="16">
        <v>-1.4873732300000011</v>
      </c>
      <c r="T44" s="16">
        <v>1.7533981700000059</v>
      </c>
      <c r="U44" s="16">
        <v>7.790571510000003</v>
      </c>
      <c r="V44" s="16">
        <v>-1.1169960700000021</v>
      </c>
      <c r="W44" s="16">
        <v>0.20908006999999773</v>
      </c>
      <c r="X44" s="16">
        <v>6.1798300200000043</v>
      </c>
      <c r="Y44" s="16">
        <v>-1.4697718500000088</v>
      </c>
      <c r="Z44" s="16">
        <v>-3.3669286899999951</v>
      </c>
      <c r="AA44" s="16">
        <v>-5.9362128200000015</v>
      </c>
      <c r="AB44" s="16">
        <f>+AB40+AB42</f>
        <v>4.9815164599999981</v>
      </c>
      <c r="AC44" s="16">
        <f>+AC40+AC42</f>
        <v>4.1620151400000056</v>
      </c>
      <c r="AD44" s="16">
        <f t="shared" ref="AD44:AG44" si="20">+AD40+AD42</f>
        <v>0.17004293000000326</v>
      </c>
      <c r="AE44" s="16">
        <f t="shared" si="20"/>
        <v>-8.9109858000000024</v>
      </c>
      <c r="AF44" s="16">
        <f t="shared" si="20"/>
        <v>2.5943269099999915</v>
      </c>
      <c r="AG44" s="16">
        <f t="shared" si="20"/>
        <v>-6.5632499299999978</v>
      </c>
      <c r="AH44" s="16">
        <v>-9.0495119099999997</v>
      </c>
      <c r="AI44" s="16">
        <v>-4.8452505800000036</v>
      </c>
      <c r="AJ44" s="16">
        <f t="shared" ref="AJ44:AM44" si="21">+AJ40+AJ42</f>
        <v>-129.17836936999996</v>
      </c>
      <c r="AK44" s="16">
        <f t="shared" si="21"/>
        <v>-4.6870472300000028</v>
      </c>
      <c r="AL44" s="16">
        <f t="shared" si="21"/>
        <v>-4.4542395099999865</v>
      </c>
      <c r="AM44" s="16">
        <f t="shared" si="21"/>
        <v>-6.5717709699999904</v>
      </c>
      <c r="AN44" s="16">
        <v>5.4954134699999768</v>
      </c>
      <c r="AO44" s="16">
        <v>16.909800749999999</v>
      </c>
      <c r="AP44" s="16">
        <v>-2.2655056400000113</v>
      </c>
      <c r="AQ44" s="16">
        <v>0.24</v>
      </c>
      <c r="AR44" s="16">
        <f>+AR40+AR42</f>
        <v>14.922603960000028</v>
      </c>
      <c r="AS44" s="16">
        <v>8.3728546700000095</v>
      </c>
      <c r="AT44" s="16">
        <v>-6.5126991500000058</v>
      </c>
      <c r="AU44" s="16">
        <v>16.177142319999984</v>
      </c>
      <c r="AV44" s="16">
        <f>56.2394477648869-AV21</f>
        <v>5.6382978900000396</v>
      </c>
      <c r="AW44" s="16">
        <f>58.8290598368098-AW21</f>
        <v>0.51669861000001305</v>
      </c>
      <c r="AX44" s="16">
        <f>61.4700395732283-AX21</f>
        <v>-0.69982761999990117</v>
      </c>
      <c r="AY44" s="16">
        <v>9.1827507900000089</v>
      </c>
      <c r="AZ44" s="16">
        <f>54.1-AZ21</f>
        <v>2.3000000000000043</v>
      </c>
      <c r="BA44" s="16">
        <v>8.618666960000013</v>
      </c>
      <c r="BB44" s="16">
        <v>9.7120023099999742</v>
      </c>
    </row>
    <row r="45" spans="1:54" ht="5.25" customHeight="1">
      <c r="A45" s="53">
        <v>16</v>
      </c>
      <c r="E45" s="67"/>
      <c r="G45" s="53">
        <f t="shared" si="12"/>
        <v>16</v>
      </c>
      <c r="S45" s="14"/>
    </row>
    <row r="46" spans="1:54">
      <c r="A46" s="53">
        <v>17</v>
      </c>
      <c r="B46" s="5" t="s">
        <v>192</v>
      </c>
      <c r="C46" s="8">
        <f t="shared" si="13"/>
        <v>-0.41289829579994169</v>
      </c>
      <c r="D46" s="8">
        <f t="shared" si="14"/>
        <v>5.730081362899984</v>
      </c>
      <c r="E46" s="44">
        <f t="shared" si="15"/>
        <v>-14.8777064986394</v>
      </c>
      <c r="G46" s="53">
        <f t="shared" si="12"/>
        <v>17</v>
      </c>
      <c r="H46" s="5" t="s">
        <v>192</v>
      </c>
      <c r="I46" s="17"/>
      <c r="J46" s="17"/>
      <c r="K46" s="17"/>
      <c r="L46" s="17"/>
      <c r="M46" s="17"/>
      <c r="N46" s="17"/>
      <c r="O46" s="17"/>
      <c r="P46" s="17"/>
      <c r="Q46" s="8">
        <f>+Q44*0.51</f>
        <v>3.860335737599998</v>
      </c>
      <c r="R46" s="8">
        <f t="shared" ref="R46:T46" si="22">+R44*0.51</f>
        <v>-0.2096214750000005</v>
      </c>
      <c r="S46" s="8">
        <f t="shared" si="22"/>
        <v>-0.75856034730000055</v>
      </c>
      <c r="T46" s="8">
        <f t="shared" si="22"/>
        <v>0.89423306670000302</v>
      </c>
      <c r="U46" s="8">
        <f>+U44-U47</f>
        <v>4.171250910000003</v>
      </c>
      <c r="V46" s="8">
        <f t="shared" ref="V46:AF46" si="23">+V44-V47</f>
        <v>-12.129309620000004</v>
      </c>
      <c r="W46" s="8">
        <f t="shared" si="23"/>
        <v>0.13145553999999782</v>
      </c>
      <c r="X46" s="8">
        <f t="shared" si="23"/>
        <v>3.2719259700000043</v>
      </c>
      <c r="Y46" s="8">
        <f t="shared" si="23"/>
        <v>-0.71925135000000906</v>
      </c>
      <c r="Z46" s="8">
        <f t="shared" si="23"/>
        <v>-1.6347808199999949</v>
      </c>
      <c r="AA46" s="8">
        <f t="shared" si="23"/>
        <v>-2.9987468100000014</v>
      </c>
      <c r="AB46" s="8">
        <f t="shared" si="23"/>
        <v>9.4859880799999985</v>
      </c>
      <c r="AC46" s="8">
        <f t="shared" si="23"/>
        <v>3.0307739099999909</v>
      </c>
      <c r="AD46" s="8">
        <f t="shared" si="23"/>
        <v>0.11151201000000327</v>
      </c>
      <c r="AE46" s="8">
        <f t="shared" si="23"/>
        <v>-4.5163217200000023</v>
      </c>
      <c r="AF46" s="8">
        <f t="shared" si="23"/>
        <v>1.3496086499999913</v>
      </c>
      <c r="AG46" s="8">
        <f>+AG44-AG47</f>
        <v>-3.3231319199999976</v>
      </c>
      <c r="AH46" s="8">
        <f>+AH44-AH47</f>
        <v>-4.5866115999999995</v>
      </c>
      <c r="AI46" s="8">
        <v>-2.39858211</v>
      </c>
      <c r="AJ46" s="8">
        <f>+AJ44-AJ47</f>
        <v>-65.880968378699976</v>
      </c>
      <c r="AK46" s="8">
        <v>-2.32373685</v>
      </c>
      <c r="AL46" s="8">
        <f>+AL44*0.49</f>
        <v>-2.1825773598999936</v>
      </c>
      <c r="AM46" s="8">
        <v>-3.2498031899999997</v>
      </c>
      <c r="AN46" s="8">
        <v>2.663956750000001</v>
      </c>
      <c r="AO46" s="8">
        <v>8.2599789799999996</v>
      </c>
      <c r="AP46" s="8">
        <f>+AP44-AP47</f>
        <v>-1.1304824500000112</v>
      </c>
      <c r="AQ46" s="8">
        <v>0</v>
      </c>
      <c r="AR46" s="8">
        <f>+AR44*0.51</f>
        <v>7.6105280196000145</v>
      </c>
      <c r="AS46" s="8">
        <f>+AS44*0.59</f>
        <v>4.9399842553000051</v>
      </c>
      <c r="AT46" s="8">
        <f t="shared" ref="AT46:AY46" si="24">+AT44*0.59</f>
        <v>-3.8424924985000031</v>
      </c>
      <c r="AU46" s="8">
        <f t="shared" si="24"/>
        <v>9.5445139687999898</v>
      </c>
      <c r="AV46" s="8">
        <f t="shared" si="24"/>
        <v>3.3265957551000231</v>
      </c>
      <c r="AW46" s="8">
        <f t="shared" si="24"/>
        <v>0.30485217990000768</v>
      </c>
      <c r="AX46" s="8">
        <f t="shared" si="24"/>
        <v>-0.41289829579994169</v>
      </c>
      <c r="AY46" s="8">
        <f t="shared" si="24"/>
        <v>5.4178229661000046</v>
      </c>
      <c r="AZ46" s="8">
        <f>+AZ44*0.59</f>
        <v>1.3570000000000024</v>
      </c>
      <c r="BA46" s="8">
        <f t="shared" ref="BA46:BB46" si="25">+BA44*0.59</f>
        <v>5.0850135064000073</v>
      </c>
      <c r="BB46" s="8">
        <f t="shared" si="25"/>
        <v>5.730081362899984</v>
      </c>
    </row>
    <row r="47" spans="1:54">
      <c r="A47" s="53">
        <v>18</v>
      </c>
      <c r="B47" s="5" t="s">
        <v>193</v>
      </c>
      <c r="C47" s="8">
        <f t="shared" si="13"/>
        <v>-0.28692932419995948</v>
      </c>
      <c r="D47" s="8">
        <f t="shared" si="14"/>
        <v>3.9819209470999892</v>
      </c>
      <c r="E47" s="44">
        <f t="shared" si="15"/>
        <v>-14.877706498639402</v>
      </c>
      <c r="G47" s="53">
        <f t="shared" si="12"/>
        <v>18</v>
      </c>
      <c r="H47" s="5" t="s">
        <v>193</v>
      </c>
      <c r="I47" s="17"/>
      <c r="J47" s="17"/>
      <c r="K47" s="17"/>
      <c r="L47" s="17"/>
      <c r="M47" s="17"/>
      <c r="N47" s="17"/>
      <c r="O47" s="17"/>
      <c r="P47" s="17"/>
      <c r="Q47" s="8">
        <f>+Q44*0.49</f>
        <v>3.708950022399998</v>
      </c>
      <c r="R47" s="8">
        <f>+R44*0.49</f>
        <v>-0.20140102500000046</v>
      </c>
      <c r="S47" s="8">
        <f>+S44*0.49</f>
        <v>-0.72881288270000055</v>
      </c>
      <c r="T47" s="8">
        <f>+T44*0.49</f>
        <v>0.85916510330000284</v>
      </c>
      <c r="U47" s="8">
        <v>3.6193206</v>
      </c>
      <c r="V47" s="8">
        <v>11.012313550000002</v>
      </c>
      <c r="W47" s="8">
        <v>7.7624529999999914E-2</v>
      </c>
      <c r="X47" s="8">
        <v>2.90790405</v>
      </c>
      <c r="Y47" s="8">
        <v>-0.7505204999999997</v>
      </c>
      <c r="Z47" s="8">
        <v>-1.7321478700000001</v>
      </c>
      <c r="AA47" s="8">
        <v>-2.9374660100000001</v>
      </c>
      <c r="AB47" s="8">
        <v>-4.5044716199999995</v>
      </c>
      <c r="AC47" s="8">
        <v>1.1312412300000148</v>
      </c>
      <c r="AD47" s="8">
        <v>5.8530919999999986E-2</v>
      </c>
      <c r="AE47" s="8">
        <v>-4.3946640800000001</v>
      </c>
      <c r="AF47" s="8">
        <v>1.2447182600000002</v>
      </c>
      <c r="AG47" s="8">
        <v>-3.2401180100000002</v>
      </c>
      <c r="AH47" s="8">
        <v>-4.4629003100000002</v>
      </c>
      <c r="AI47" s="8">
        <f>+AI44-AI46</f>
        <v>-2.4466684700000036</v>
      </c>
      <c r="AJ47" s="8">
        <f>+AJ44*0.49</f>
        <v>-63.29740099129998</v>
      </c>
      <c r="AK47" s="8">
        <f>+AK44-AK46</f>
        <v>-2.3633103800000028</v>
      </c>
      <c r="AL47" s="8">
        <f>+AL44*0.51</f>
        <v>-2.2716621500999929</v>
      </c>
      <c r="AM47" s="8">
        <v>-3.3219677799999907</v>
      </c>
      <c r="AN47" s="8">
        <f>+AN44-AN46</f>
        <v>2.8314567199999758</v>
      </c>
      <c r="AO47" s="8">
        <f>+AO44-AO46</f>
        <v>8.6498217699999991</v>
      </c>
      <c r="AP47" s="8">
        <v>-1.1350231900000001</v>
      </c>
      <c r="AQ47" s="8">
        <v>0</v>
      </c>
      <c r="AR47" s="8">
        <f>+AR44*0.49</f>
        <v>7.312075940400014</v>
      </c>
      <c r="AS47" s="8">
        <f>+AS44*0.41</f>
        <v>3.4328704147000035</v>
      </c>
      <c r="AT47" s="8">
        <f t="shared" ref="AT47:AZ47" si="26">+AT44*0.41</f>
        <v>-2.6702066515000022</v>
      </c>
      <c r="AU47" s="8">
        <f t="shared" si="26"/>
        <v>6.6326283511999931</v>
      </c>
      <c r="AV47" s="8">
        <f t="shared" si="26"/>
        <v>2.311702134900016</v>
      </c>
      <c r="AW47" s="8">
        <f t="shared" si="26"/>
        <v>0.21184643010000534</v>
      </c>
      <c r="AX47" s="8">
        <f t="shared" si="26"/>
        <v>-0.28692932419995948</v>
      </c>
      <c r="AY47" s="8">
        <f t="shared" si="26"/>
        <v>3.7649278239000035</v>
      </c>
      <c r="AZ47" s="8">
        <f t="shared" si="26"/>
        <v>0.94300000000000173</v>
      </c>
      <c r="BA47" s="8">
        <f t="shared" ref="BA47:BB47" si="27">+BA44*0.41</f>
        <v>3.5336534536000053</v>
      </c>
      <c r="BB47" s="8">
        <f t="shared" si="27"/>
        <v>3.9819209470999892</v>
      </c>
    </row>
    <row r="48" spans="1:54">
      <c r="U48" s="58"/>
      <c r="V48" s="58"/>
      <c r="W48" s="58"/>
      <c r="X48" s="58"/>
      <c r="Y48" s="58"/>
      <c r="Z48" s="58"/>
      <c r="AA48" s="58"/>
      <c r="AB48" s="58"/>
      <c r="AC48" s="58"/>
      <c r="AD48" s="58"/>
      <c r="AE48" s="58"/>
      <c r="AF48" s="58"/>
      <c r="AG48" s="58"/>
      <c r="AH48" s="58"/>
      <c r="AI48" s="58"/>
      <c r="AJ48" s="58"/>
      <c r="AK48" s="58"/>
      <c r="AL48" s="58"/>
      <c r="AM48" s="58"/>
      <c r="AN48" s="58"/>
      <c r="AO48" s="58"/>
    </row>
    <row r="49" spans="2:5" ht="183" customHeight="1">
      <c r="B49" s="135" t="s">
        <v>213</v>
      </c>
      <c r="C49" s="135"/>
      <c r="D49" s="135"/>
      <c r="E49" s="135"/>
    </row>
  </sheetData>
  <mergeCells count="99">
    <mergeCell ref="S6:S7"/>
    <mergeCell ref="O30:O31"/>
    <mergeCell ref="C6:C7"/>
    <mergeCell ref="D6:D7"/>
    <mergeCell ref="E6:E7"/>
    <mergeCell ref="I6:I7"/>
    <mergeCell ref="J30:J31"/>
    <mergeCell ref="N30:N31"/>
    <mergeCell ref="K30:K31"/>
    <mergeCell ref="L30:L31"/>
    <mergeCell ref="M30:M31"/>
    <mergeCell ref="J6:J7"/>
    <mergeCell ref="K6:K7"/>
    <mergeCell ref="L6:L7"/>
    <mergeCell ref="M6:M7"/>
    <mergeCell ref="N6:N7"/>
    <mergeCell ref="B49:E49"/>
    <mergeCell ref="I30:I31"/>
    <mergeCell ref="C30:C31"/>
    <mergeCell ref="D30:D31"/>
    <mergeCell ref="E30:E31"/>
    <mergeCell ref="AK30:AK31"/>
    <mergeCell ref="AM6:AM7"/>
    <mergeCell ref="AJ6:AJ7"/>
    <mergeCell ref="AN6:AN7"/>
    <mergeCell ref="AI6:AI7"/>
    <mergeCell ref="AK6:AK7"/>
    <mergeCell ref="AN30:AN31"/>
    <mergeCell ref="AL6:AL7"/>
    <mergeCell ref="AL30:AL31"/>
    <mergeCell ref="AF6:AF7"/>
    <mergeCell ref="AE6:AE7"/>
    <mergeCell ref="AG6:AG7"/>
    <mergeCell ref="AG30:AG31"/>
    <mergeCell ref="AE30:AE31"/>
    <mergeCell ref="O6:O7"/>
    <mergeCell ref="R6:R7"/>
    <mergeCell ref="T6:T7"/>
    <mergeCell ref="AI30:AI31"/>
    <mergeCell ref="AH6:AH7"/>
    <mergeCell ref="AH30:AH31"/>
    <mergeCell ref="P30:P31"/>
    <mergeCell ref="Q30:Q31"/>
    <mergeCell ref="R30:R31"/>
    <mergeCell ref="Q6:Q7"/>
    <mergeCell ref="P6:P7"/>
    <mergeCell ref="V30:V31"/>
    <mergeCell ref="W6:W7"/>
    <mergeCell ref="W30:W31"/>
    <mergeCell ref="X6:X7"/>
    <mergeCell ref="S30:S31"/>
    <mergeCell ref="AV30:AV31"/>
    <mergeCell ref="X30:X31"/>
    <mergeCell ref="T30:T31"/>
    <mergeCell ref="U6:U7"/>
    <mergeCell ref="U30:U31"/>
    <mergeCell ref="AC30:AC31"/>
    <mergeCell ref="Y30:Y31"/>
    <mergeCell ref="AA6:AA7"/>
    <mergeCell ref="AA30:AA31"/>
    <mergeCell ref="Z6:Z7"/>
    <mergeCell ref="Y6:Y7"/>
    <mergeCell ref="AB30:AB31"/>
    <mergeCell ref="AB6:AB7"/>
    <mergeCell ref="AC6:AC7"/>
    <mergeCell ref="V6:V7"/>
    <mergeCell ref="Z30:Z31"/>
    <mergeCell ref="AD6:AD7"/>
    <mergeCell ref="AD30:AD31"/>
    <mergeCell ref="AF30:AF31"/>
    <mergeCell ref="AJ30:AJ31"/>
    <mergeCell ref="BA6:BA7"/>
    <mergeCell ref="AM30:AM31"/>
    <mergeCell ref="AR6:AR7"/>
    <mergeCell ref="AP30:AP31"/>
    <mergeCell ref="AS30:AS31"/>
    <mergeCell ref="AQ6:AQ7"/>
    <mergeCell ref="AQ30:AQ31"/>
    <mergeCell ref="AX6:AX7"/>
    <mergeCell ref="AX30:AX31"/>
    <mergeCell ref="AW6:AW7"/>
    <mergeCell ref="AW30:AW31"/>
    <mergeCell ref="AV6:AV7"/>
    <mergeCell ref="BB6:BB7"/>
    <mergeCell ref="BA30:BA31"/>
    <mergeCell ref="BB30:BB31"/>
    <mergeCell ref="AO6:AO7"/>
    <mergeCell ref="AO30:AO31"/>
    <mergeCell ref="AR30:AR31"/>
    <mergeCell ref="AU6:AU7"/>
    <mergeCell ref="AU30:AU31"/>
    <mergeCell ref="AT6:AT7"/>
    <mergeCell ref="AT30:AT31"/>
    <mergeCell ref="AZ6:AZ7"/>
    <mergeCell ref="AZ30:AZ31"/>
    <mergeCell ref="AP6:AP7"/>
    <mergeCell ref="AY6:AY7"/>
    <mergeCell ref="AY30:AY31"/>
    <mergeCell ref="AS6:AS7"/>
  </mergeCells>
  <phoneticPr fontId="14"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9" tint="0.79998168889431442"/>
  </sheetPr>
  <dimension ref="A4:AQ37"/>
  <sheetViews>
    <sheetView topLeftCell="B1" zoomScaleNormal="100" workbookViewId="0">
      <selection activeCell="B29" sqref="B29"/>
    </sheetView>
  </sheetViews>
  <sheetFormatPr defaultColWidth="11.42578125" defaultRowHeight="15"/>
  <cols>
    <col min="1" max="1" width="0" style="1" hidden="1" customWidth="1"/>
    <col min="2" max="2" width="51" style="1" customWidth="1"/>
    <col min="3" max="6" width="11.42578125" style="1"/>
    <col min="7" max="7" width="11.42578125" style="53"/>
    <col min="8" max="8" width="30.7109375" style="1" bestFit="1" customWidth="1"/>
    <col min="9" max="42" width="8.7109375" style="1" bestFit="1" customWidth="1"/>
    <col min="43" max="16384" width="11.42578125" style="1"/>
  </cols>
  <sheetData>
    <row r="4" spans="1:43" ht="23.2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43" ht="7.5" customHeight="1"/>
    <row r="6" spans="1:43" s="123" customFormat="1" ht="15.75" customHeight="1">
      <c r="A6" s="123">
        <v>1</v>
      </c>
      <c r="B6" s="3" t="s">
        <v>214</v>
      </c>
      <c r="C6" s="134" t="s">
        <v>99</v>
      </c>
      <c r="D6" s="134" t="s">
        <v>237</v>
      </c>
      <c r="E6" s="134" t="s">
        <v>100</v>
      </c>
      <c r="G6" s="124">
        <v>1</v>
      </c>
      <c r="H6" s="3" t="s">
        <v>214</v>
      </c>
      <c r="I6" s="134" t="s">
        <v>113</v>
      </c>
      <c r="J6" s="134" t="s">
        <v>114</v>
      </c>
      <c r="K6" s="134" t="s">
        <v>115</v>
      </c>
      <c r="L6" s="134" t="s">
        <v>116</v>
      </c>
      <c r="M6" s="134" t="s">
        <v>117</v>
      </c>
      <c r="N6" s="134" t="s">
        <v>118</v>
      </c>
      <c r="O6" s="134" t="s">
        <v>119</v>
      </c>
      <c r="P6" s="134" t="s">
        <v>120</v>
      </c>
      <c r="Q6" s="134" t="s">
        <v>121</v>
      </c>
      <c r="R6" s="134" t="s">
        <v>122</v>
      </c>
      <c r="S6" s="134" t="s">
        <v>123</v>
      </c>
      <c r="T6" s="134" t="s">
        <v>124</v>
      </c>
      <c r="U6" s="134" t="s">
        <v>125</v>
      </c>
      <c r="V6" s="134" t="s">
        <v>126</v>
      </c>
      <c r="W6" s="134" t="s">
        <v>127</v>
      </c>
      <c r="X6" s="134" t="s">
        <v>128</v>
      </c>
      <c r="Y6" s="134" t="s">
        <v>129</v>
      </c>
      <c r="Z6" s="134" t="s">
        <v>130</v>
      </c>
      <c r="AA6" s="134" t="s">
        <v>131</v>
      </c>
      <c r="AB6" s="134" t="s">
        <v>132</v>
      </c>
      <c r="AC6" s="134" t="s">
        <v>133</v>
      </c>
      <c r="AD6" s="134" t="s">
        <v>134</v>
      </c>
      <c r="AE6" s="134" t="s">
        <v>135</v>
      </c>
      <c r="AF6" s="134" t="s">
        <v>136</v>
      </c>
      <c r="AG6" s="134" t="s">
        <v>137</v>
      </c>
      <c r="AH6" s="134" t="s">
        <v>138</v>
      </c>
      <c r="AI6" s="134" t="s">
        <v>139</v>
      </c>
      <c r="AJ6" s="134" t="s">
        <v>98</v>
      </c>
      <c r="AK6" s="134" t="s">
        <v>140</v>
      </c>
      <c r="AL6" s="134" t="s">
        <v>141</v>
      </c>
      <c r="AM6" s="134" t="s">
        <v>142</v>
      </c>
      <c r="AN6" s="134" t="s">
        <v>99</v>
      </c>
      <c r="AO6" s="134" t="s">
        <v>236</v>
      </c>
      <c r="AP6" s="134" t="s">
        <v>237</v>
      </c>
    </row>
    <row r="7" spans="1:43" s="123" customFormat="1">
      <c r="A7" s="123">
        <v>2</v>
      </c>
      <c r="B7" s="3" t="s">
        <v>166</v>
      </c>
      <c r="C7" s="134"/>
      <c r="D7" s="134"/>
      <c r="E7" s="134"/>
      <c r="G7" s="124">
        <f>G6+1</f>
        <v>2</v>
      </c>
      <c r="H7" s="3" t="s">
        <v>166</v>
      </c>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row>
    <row r="8" spans="1:43" ht="4.5" customHeight="1">
      <c r="A8" s="1">
        <v>3</v>
      </c>
      <c r="G8" s="53">
        <f t="shared" ref="G8:G18" si="0">G7+1</f>
        <v>3</v>
      </c>
    </row>
    <row r="9" spans="1:43">
      <c r="A9" s="1">
        <v>4</v>
      </c>
      <c r="B9" s="5" t="s">
        <v>215</v>
      </c>
      <c r="C9" s="51">
        <f>HLOOKUP($C$6,$H$6:$BK$18,$G9,FALSE)</f>
        <v>1100.7813189999999</v>
      </c>
      <c r="D9" s="51">
        <f>HLOOKUP($D$6,$H$6:$BK$18,$G9,FALSE)</f>
        <v>1193.1359740099999</v>
      </c>
      <c r="E9" s="32">
        <f>D9/C9-1</f>
        <v>8.3899184530038307E-2</v>
      </c>
      <c r="G9" s="53">
        <f t="shared" si="0"/>
        <v>4</v>
      </c>
      <c r="H9" s="5" t="s">
        <v>215</v>
      </c>
      <c r="I9" s="13">
        <v>851.94598514999996</v>
      </c>
      <c r="J9" s="13">
        <v>877.85857165000004</v>
      </c>
      <c r="K9" s="13">
        <v>966.98446622000006</v>
      </c>
      <c r="L9" s="13">
        <v>1036.83880901</v>
      </c>
      <c r="M9" s="13">
        <v>1123.0161427500002</v>
      </c>
      <c r="N9" s="13">
        <v>906.10416333000012</v>
      </c>
      <c r="O9" s="13">
        <v>1018.89567078</v>
      </c>
      <c r="P9" s="13">
        <f>1151.26274554-P28</f>
        <v>1079.4268553100001</v>
      </c>
      <c r="Q9" s="13">
        <f>1215.75743257-Q28</f>
        <v>1149.0228043500001</v>
      </c>
      <c r="R9" s="13">
        <v>962.29794672999992</v>
      </c>
      <c r="S9" s="13">
        <f>1117.13582647-S28</f>
        <v>1056.5571717299999</v>
      </c>
      <c r="T9" s="13">
        <v>1069.0444025100001</v>
      </c>
      <c r="U9" s="13">
        <f>1313.33960533-U28</f>
        <v>1239.53445283</v>
      </c>
      <c r="V9" s="13">
        <f>1157.13281828-V28</f>
        <v>1065.85657085</v>
      </c>
      <c r="W9" s="13">
        <f>1232.11201038-W28</f>
        <v>1153.9265937</v>
      </c>
      <c r="X9" s="13">
        <f>1259.18534985546-X28</f>
        <v>1184.6837488154599</v>
      </c>
      <c r="Y9" s="13">
        <f>1835.53080955605-Y28</f>
        <v>1771.1374382460499</v>
      </c>
      <c r="Z9" s="13">
        <f>1606.13921990478-Z28</f>
        <v>1529.6106433047801</v>
      </c>
      <c r="AA9" s="13">
        <f>2162.29712954196-AA28</f>
        <v>2101.5483796752483</v>
      </c>
      <c r="AB9" s="13">
        <f>1766.43577610322-AB28</f>
        <v>1701.09212012322</v>
      </c>
      <c r="AC9" s="13">
        <v>1531.3300000000002</v>
      </c>
      <c r="AD9" s="13">
        <v>1451.7839426024229</v>
      </c>
      <c r="AE9" s="13">
        <v>1469.3812959336046</v>
      </c>
      <c r="AF9" s="13">
        <f>1688.3-AF28</f>
        <v>1585.2480199534943</v>
      </c>
      <c r="AG9" s="13">
        <f>1602.57686574061-AG28</f>
        <v>1520.9973978014436</v>
      </c>
      <c r="AH9" s="13">
        <f>1487.64968383918-AH28</f>
        <v>1412.1633893192181</v>
      </c>
      <c r="AI9" s="13">
        <f>1653.70245341163-AI28</f>
        <v>1541.5597900816299</v>
      </c>
      <c r="AJ9" s="13">
        <f>1426.23105087525-AJ28</f>
        <v>1334.4235706552499</v>
      </c>
      <c r="AK9" s="13">
        <v>1334.4477199999997</v>
      </c>
      <c r="AL9" s="13">
        <v>1245.1891900000003</v>
      </c>
      <c r="AM9" s="13">
        <v>1265.5465099999999</v>
      </c>
      <c r="AN9" s="13">
        <v>1100.7813189999999</v>
      </c>
      <c r="AO9" s="13">
        <v>1182.2998511200001</v>
      </c>
      <c r="AP9" s="13">
        <v>1193.1359740099999</v>
      </c>
      <c r="AQ9" s="129"/>
    </row>
    <row r="10" spans="1:43">
      <c r="A10" s="1">
        <v>5</v>
      </c>
      <c r="B10" s="5" t="s">
        <v>216</v>
      </c>
      <c r="C10" s="51">
        <f>HLOOKUP($C$6,$H$6:$BK$18,$G10,FALSE)</f>
        <v>5155.9745767099994</v>
      </c>
      <c r="D10" s="51">
        <f>HLOOKUP($D$6,$H$6:$BK$18,$G10,FALSE)</f>
        <v>5132.5084079500002</v>
      </c>
      <c r="E10" s="32">
        <f>D10/C10-1</f>
        <v>-4.5512576547599437E-3</v>
      </c>
      <c r="G10" s="53">
        <f t="shared" si="0"/>
        <v>5</v>
      </c>
      <c r="H10" s="5" t="s">
        <v>216</v>
      </c>
      <c r="I10" s="13">
        <v>5111.9700011000004</v>
      </c>
      <c r="J10" s="13">
        <v>5118.2419994500015</v>
      </c>
      <c r="K10" s="13">
        <v>5083.0575229899996</v>
      </c>
      <c r="L10" s="13">
        <v>5039.0015552599998</v>
      </c>
      <c r="M10" s="13">
        <v>5033.1846888900009</v>
      </c>
      <c r="N10" s="13">
        <v>5004.2986579099997</v>
      </c>
      <c r="O10" s="13">
        <v>4986.2491683299995</v>
      </c>
      <c r="P10" s="13">
        <f>5627.08594679-P29</f>
        <v>4914.9502672399994</v>
      </c>
      <c r="Q10" s="13">
        <f>5634.71460311-Q29</f>
        <v>4900.3526078900004</v>
      </c>
      <c r="R10" s="13">
        <v>4856.1919675599984</v>
      </c>
      <c r="S10" s="13">
        <f>5662.96485819-S29</f>
        <v>4816.5027538599998</v>
      </c>
      <c r="T10" s="13">
        <v>4715.0582073800015</v>
      </c>
      <c r="U10" s="13">
        <f>5548.1223242-U29</f>
        <v>4691.6083793299995</v>
      </c>
      <c r="V10" s="13">
        <f>5545.52978856-V29</f>
        <v>4703.89630622</v>
      </c>
      <c r="W10" s="13">
        <f>5499.52641136-W29</f>
        <v>4689.1938464699997</v>
      </c>
      <c r="X10" s="13">
        <f>5374.69484166304-X29</f>
        <v>4692.081113313041</v>
      </c>
      <c r="Y10" s="13">
        <f>4858.214-Y29</f>
        <v>4188.5855019600003</v>
      </c>
      <c r="Z10" s="13">
        <f>4861.638-Z29</f>
        <v>4202.1238247000001</v>
      </c>
      <c r="AA10" s="13">
        <f>4981.939-AA29</f>
        <v>4336.9985660196135</v>
      </c>
      <c r="AB10" s="13">
        <f>4836.072-AB29</f>
        <v>4196.7211968600004</v>
      </c>
      <c r="AC10" s="13">
        <v>4108.0199999999995</v>
      </c>
      <c r="AD10" s="13">
        <v>4220.9687017755605</v>
      </c>
      <c r="AE10" s="13">
        <v>4249.2650304162189</v>
      </c>
      <c r="AF10" s="13">
        <f>4869.9-AF29</f>
        <v>4253.4738190958487</v>
      </c>
      <c r="AG10" s="13">
        <f>5013.79241971-AG29</f>
        <v>4399.4549288422841</v>
      </c>
      <c r="AH10" s="13">
        <f>5111.54323107-AH29</f>
        <v>4495.3399611761906</v>
      </c>
      <c r="AI10" s="13">
        <f>5074.41705531-AI29</f>
        <v>4473.6280143700005</v>
      </c>
      <c r="AJ10" s="13">
        <f>5234.46087104-AJ29</f>
        <v>4641.8056893799994</v>
      </c>
      <c r="AK10" s="13">
        <v>4676.452040000001</v>
      </c>
      <c r="AL10" s="13">
        <v>4708.7488700000004</v>
      </c>
      <c r="AM10" s="13">
        <v>4766.5920100000003</v>
      </c>
      <c r="AN10" s="13">
        <v>5155.9745767099994</v>
      </c>
      <c r="AO10" s="13">
        <v>5126.7930908633898</v>
      </c>
      <c r="AP10" s="13">
        <v>5132.5084079500002</v>
      </c>
    </row>
    <row r="11" spans="1:43" ht="5.25" customHeight="1">
      <c r="A11" s="1">
        <v>6</v>
      </c>
      <c r="C11" s="111"/>
      <c r="D11" s="111"/>
      <c r="E11" s="36"/>
      <c r="G11" s="53">
        <f t="shared" si="0"/>
        <v>6</v>
      </c>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row>
    <row r="12" spans="1:43">
      <c r="A12" s="1">
        <v>7</v>
      </c>
      <c r="B12" s="102" t="s">
        <v>217</v>
      </c>
      <c r="C12" s="112">
        <f>HLOOKUP($C$6,$H$6:$BK$18,$G12,FALSE)</f>
        <v>6256.7558957099991</v>
      </c>
      <c r="D12" s="112">
        <f>HLOOKUP($D$6,$H$6:$BK$18,$G12,FALSE)</f>
        <v>6325.6443819599999</v>
      </c>
      <c r="E12" s="94">
        <f>D12/C12-1</f>
        <v>1.1010256337031565E-2</v>
      </c>
      <c r="G12" s="53">
        <f t="shared" si="0"/>
        <v>7</v>
      </c>
      <c r="H12" s="102" t="s">
        <v>217</v>
      </c>
      <c r="I12" s="93">
        <f>I10+I9</f>
        <v>5963.9159862500001</v>
      </c>
      <c r="J12" s="93">
        <f>J10+J9</f>
        <v>5996.1005711000016</v>
      </c>
      <c r="K12" s="93">
        <f t="shared" ref="K12:M12" si="1">K10+K9</f>
        <v>6050.0419892099999</v>
      </c>
      <c r="L12" s="93">
        <f t="shared" si="1"/>
        <v>6075.8403642699996</v>
      </c>
      <c r="M12" s="93">
        <f t="shared" si="1"/>
        <v>6156.2008316400006</v>
      </c>
      <c r="N12" s="93">
        <f t="shared" ref="N12:O12" si="2">N10+N9</f>
        <v>5910.4028212399999</v>
      </c>
      <c r="O12" s="93">
        <f t="shared" si="2"/>
        <v>6005.1448391099993</v>
      </c>
      <c r="P12" s="93">
        <f t="shared" ref="P12:AA12" si="3">P10+P9</f>
        <v>5994.3771225499995</v>
      </c>
      <c r="Q12" s="93">
        <f t="shared" si="3"/>
        <v>6049.3754122400005</v>
      </c>
      <c r="R12" s="93">
        <f t="shared" si="3"/>
        <v>5818.4899142899985</v>
      </c>
      <c r="S12" s="93">
        <f t="shared" si="3"/>
        <v>5873.0599255899997</v>
      </c>
      <c r="T12" s="93">
        <f t="shared" si="3"/>
        <v>5784.102609890002</v>
      </c>
      <c r="U12" s="93">
        <f t="shared" si="3"/>
        <v>5931.1428321599997</v>
      </c>
      <c r="V12" s="93">
        <f t="shared" si="3"/>
        <v>5769.7528770700001</v>
      </c>
      <c r="W12" s="93">
        <f t="shared" si="3"/>
        <v>5843.1204401699997</v>
      </c>
      <c r="X12" s="93">
        <f t="shared" si="3"/>
        <v>5876.7648621285007</v>
      </c>
      <c r="Y12" s="93">
        <f t="shared" si="3"/>
        <v>5959.7229402060502</v>
      </c>
      <c r="Z12" s="93">
        <f t="shared" si="3"/>
        <v>5731.73446800478</v>
      </c>
      <c r="AA12" s="93">
        <f t="shared" si="3"/>
        <v>6438.5469456948613</v>
      </c>
      <c r="AB12" s="93">
        <f>AB10+AB9</f>
        <v>5897.8133169832199</v>
      </c>
      <c r="AC12" s="93">
        <f>AC10+AC9</f>
        <v>5639.3499999999995</v>
      </c>
      <c r="AD12" s="93">
        <f>AD10+AD9</f>
        <v>5672.7526443779834</v>
      </c>
      <c r="AE12" s="93">
        <f>AE10+AE9</f>
        <v>5718.6463263498235</v>
      </c>
      <c r="AF12" s="93">
        <f>AF10+AF9</f>
        <v>5838.7218390493435</v>
      </c>
      <c r="AG12" s="93">
        <f>+AG9+AG10</f>
        <v>5920.4523266437282</v>
      </c>
      <c r="AH12" s="93">
        <f>+AH9+AH10</f>
        <v>5907.503350495409</v>
      </c>
      <c r="AI12" s="93">
        <f>+AI9+AI10</f>
        <v>6015.1878044516307</v>
      </c>
      <c r="AJ12" s="93">
        <f>6660.69192191525-AJ31</f>
        <v>5976.2292600352494</v>
      </c>
      <c r="AK12" s="93">
        <f>SUM(AK9:AK10)</f>
        <v>6010.8997600000002</v>
      </c>
      <c r="AL12" s="93">
        <f>SUM(AL9:AL10)</f>
        <v>5953.9380600000004</v>
      </c>
      <c r="AM12" s="93">
        <f>SUM(AM9:AM10)</f>
        <v>6032.1385200000004</v>
      </c>
      <c r="AN12" s="93">
        <f>SUM(AN9:AN10)</f>
        <v>6256.7558957099991</v>
      </c>
      <c r="AO12" s="93">
        <f t="shared" ref="AO12:AP12" si="4">SUM(AO9:AO10)</f>
        <v>6309.0929419833901</v>
      </c>
      <c r="AP12" s="93">
        <f t="shared" si="4"/>
        <v>6325.6443819599999</v>
      </c>
      <c r="AQ12" s="84"/>
    </row>
    <row r="13" spans="1:43" ht="5.25" customHeight="1">
      <c r="A13" s="1">
        <v>8</v>
      </c>
      <c r="C13" s="84"/>
      <c r="D13" s="84"/>
      <c r="G13" s="53">
        <f t="shared" si="0"/>
        <v>8</v>
      </c>
    </row>
    <row r="14" spans="1:43">
      <c r="A14" s="1">
        <v>9</v>
      </c>
      <c r="B14" s="5" t="s">
        <v>218</v>
      </c>
      <c r="C14" s="51">
        <f>HLOOKUP($C$6,$H$6:$BK$18,$G14,FALSE)</f>
        <v>292.86554606999999</v>
      </c>
      <c r="D14" s="51">
        <f>HLOOKUP($D$6,$H$6:$BK$18,$G14,FALSE)</f>
        <v>242.55715112999997</v>
      </c>
      <c r="E14" s="32">
        <f>D14/C14-1</f>
        <v>-0.17177983417679132</v>
      </c>
      <c r="G14" s="53">
        <f t="shared" si="0"/>
        <v>9</v>
      </c>
      <c r="H14" s="5" t="s">
        <v>218</v>
      </c>
      <c r="I14" s="13">
        <v>332.06293499999998</v>
      </c>
      <c r="J14" s="13">
        <v>257.57242348</v>
      </c>
      <c r="K14" s="13">
        <v>251.18324160999998</v>
      </c>
      <c r="L14" s="13">
        <v>321.59412931000003</v>
      </c>
      <c r="M14" s="13">
        <v>311.40434149000004</v>
      </c>
      <c r="N14" s="13">
        <v>240.91993596999998</v>
      </c>
      <c r="O14" s="13">
        <v>238.14455495999999</v>
      </c>
      <c r="P14" s="13">
        <f>345.36432029-P33</f>
        <v>301.90262543</v>
      </c>
      <c r="Q14" s="13">
        <f>324.73546798-Q33</f>
        <v>278.59070792</v>
      </c>
      <c r="R14" s="13">
        <v>217.377272</v>
      </c>
      <c r="S14" s="13">
        <f>286.59953942-S33</f>
        <v>226.65396185999998</v>
      </c>
      <c r="T14" s="13">
        <v>267.9885452499999</v>
      </c>
      <c r="U14" s="13">
        <f>344.78575294-U33</f>
        <v>245.24322167000003</v>
      </c>
      <c r="V14" s="13">
        <f>300.0780978-V33</f>
        <v>187.28015278000004</v>
      </c>
      <c r="W14" s="13">
        <f>285.30081097-W33</f>
        <v>193.42503362999997</v>
      </c>
      <c r="X14" s="13">
        <f>306.542637480564-X33</f>
        <v>215.40118083056399</v>
      </c>
      <c r="Y14" s="13">
        <f>429.657122-Y33</f>
        <v>341.73667789000001</v>
      </c>
      <c r="Z14" s="13">
        <f>427.219-Z33</f>
        <v>331.30202495999998</v>
      </c>
      <c r="AA14" s="13">
        <f>571.603-AA33</f>
        <v>479.19844292999994</v>
      </c>
      <c r="AB14" s="13">
        <f>679.004-AB33</f>
        <v>592.82991433000007</v>
      </c>
      <c r="AC14" s="13">
        <v>297.52000000000004</v>
      </c>
      <c r="AD14" s="13">
        <v>336.20000000000005</v>
      </c>
      <c r="AE14" s="13">
        <v>297.09446570711003</v>
      </c>
      <c r="AF14" s="13">
        <f>542.58576605511-AF33</f>
        <v>429.58461463510997</v>
      </c>
      <c r="AG14" s="13">
        <f>462.20512787402-AG33</f>
        <v>367.09936456401999</v>
      </c>
      <c r="AH14" s="13">
        <f>396.62735860708-AH33</f>
        <v>297.17490132707997</v>
      </c>
      <c r="AI14" s="13">
        <f>415.76991396552-AI33</f>
        <v>297.09131362552</v>
      </c>
      <c r="AJ14" s="13">
        <f>470.80527333096-AJ33</f>
        <v>384.12393090095998</v>
      </c>
      <c r="AK14" s="13">
        <v>367.38</v>
      </c>
      <c r="AL14" s="13">
        <f>330.717-AL33</f>
        <v>244.61656753999998</v>
      </c>
      <c r="AM14" s="13">
        <v>244.42214000000001</v>
      </c>
      <c r="AN14" s="13">
        <v>292.86554606999999</v>
      </c>
      <c r="AO14" s="13">
        <v>270.89103456999999</v>
      </c>
      <c r="AP14" s="13">
        <v>242.55715112999997</v>
      </c>
    </row>
    <row r="15" spans="1:43">
      <c r="A15" s="1">
        <v>10</v>
      </c>
      <c r="B15" s="5" t="s">
        <v>219</v>
      </c>
      <c r="C15" s="51">
        <f>HLOOKUP($C$6,$H$6:$BK$18,$G15,FALSE)</f>
        <v>3033.8903372</v>
      </c>
      <c r="D15" s="51">
        <f>HLOOKUP($D$6,$H$6:$BK$18,$G15,FALSE)</f>
        <v>3040.9514760799998</v>
      </c>
      <c r="E15" s="32">
        <f>D15/C15-1</f>
        <v>2.3274206036454359E-3</v>
      </c>
      <c r="G15" s="53">
        <f t="shared" si="0"/>
        <v>10</v>
      </c>
      <c r="H15" s="5" t="s">
        <v>219</v>
      </c>
      <c r="I15" s="13">
        <v>2298.0290426399997</v>
      </c>
      <c r="J15" s="13">
        <v>2289.0193435900001</v>
      </c>
      <c r="K15" s="13">
        <v>2303.73616958</v>
      </c>
      <c r="L15" s="13">
        <v>2262.9810454100002</v>
      </c>
      <c r="M15" s="13">
        <v>2276.3748615799996</v>
      </c>
      <c r="N15" s="13">
        <v>2240.46498006</v>
      </c>
      <c r="O15" s="13">
        <v>2281.9964221199998</v>
      </c>
      <c r="P15" s="13">
        <f>2576.04691683-P34</f>
        <v>2242.7578190900003</v>
      </c>
      <c r="Q15" s="13">
        <f>2601.2611478-Q34</f>
        <v>2257.6920767399997</v>
      </c>
      <c r="R15" s="13">
        <v>2247.1130673900002</v>
      </c>
      <c r="S15" s="13">
        <f>2674.75084135-S34</f>
        <v>2230.2975092900001</v>
      </c>
      <c r="T15" s="13">
        <v>2185.7482230700002</v>
      </c>
      <c r="U15" s="13">
        <f>2749.60490735-U34</f>
        <v>2317.5012676799997</v>
      </c>
      <c r="V15" s="13">
        <f>2740.20253576-V34</f>
        <v>2309.7141655300002</v>
      </c>
      <c r="W15" s="13">
        <f>2720.09146833-W34</f>
        <v>2308.2274280400002</v>
      </c>
      <c r="X15" s="13">
        <f>2741.98145781361-X34</f>
        <v>2331.50730189361</v>
      </c>
      <c r="Y15" s="13">
        <f>2717.96-Y34</f>
        <v>2322.7600000000002</v>
      </c>
      <c r="Z15" s="13">
        <f>2705.976-Z34</f>
        <v>2312.3760000000002</v>
      </c>
      <c r="AA15" s="13">
        <f>2649.348-AA34</f>
        <v>2275.9437433200001</v>
      </c>
      <c r="AB15" s="13">
        <f>3082.078-AB34</f>
        <v>2708.91780522</v>
      </c>
      <c r="AC15" s="13">
        <v>2726.27</v>
      </c>
      <c r="AD15" s="13">
        <v>2724.7799999999997</v>
      </c>
      <c r="AE15" s="13">
        <v>2735.2070388400002</v>
      </c>
      <c r="AF15" s="13">
        <f>3110.5115982571-AF34</f>
        <v>2779.2079943071003</v>
      </c>
      <c r="AG15" s="13">
        <f>3098.53024229-AG34</f>
        <v>2781.4902345400001</v>
      </c>
      <c r="AH15" s="13">
        <f>3095.15550304419-AH34</f>
        <v>2780.1934199341899</v>
      </c>
      <c r="AI15" s="13">
        <f>3079.06228918954-AI34</f>
        <v>2778.2397278195399</v>
      </c>
      <c r="AJ15" s="13">
        <f>3092.60975351764-AJ34</f>
        <v>2793.8976854276398</v>
      </c>
      <c r="AK15" s="13">
        <v>2790.25</v>
      </c>
      <c r="AL15" s="13">
        <v>2792.09</v>
      </c>
      <c r="AM15" s="13">
        <v>2795.76658</v>
      </c>
      <c r="AN15" s="13">
        <v>3033.8903372</v>
      </c>
      <c r="AO15" s="13">
        <v>3035.77645936</v>
      </c>
      <c r="AP15" s="13">
        <v>3040.9514760799998</v>
      </c>
    </row>
    <row r="16" spans="1:43">
      <c r="A16" s="1">
        <v>11</v>
      </c>
      <c r="B16" s="5" t="s">
        <v>220</v>
      </c>
      <c r="C16" s="51">
        <f>HLOOKUP($C$6,$H$6:$BK$18,$G16,FALSE)</f>
        <v>2803.8624415499999</v>
      </c>
      <c r="D16" s="113">
        <f>HLOOKUP($D$6,$H$6:$BK$18,$G16,FALSE)</f>
        <v>3042.1343944499995</v>
      </c>
      <c r="E16" s="32">
        <f t="shared" ref="E16" si="5">D16/C16-1</f>
        <v>8.4979901071138508E-2</v>
      </c>
      <c r="G16" s="53">
        <f t="shared" si="0"/>
        <v>11</v>
      </c>
      <c r="H16" s="5" t="s">
        <v>220</v>
      </c>
      <c r="I16" s="13">
        <v>3333.1386763600008</v>
      </c>
      <c r="J16" s="13">
        <v>3449.5088040299997</v>
      </c>
      <c r="K16" s="13">
        <v>3495.1225780199998</v>
      </c>
      <c r="L16" s="13">
        <v>3491.2651895500003</v>
      </c>
      <c r="M16" s="13">
        <v>3568.4216285699999</v>
      </c>
      <c r="N16" s="13">
        <v>3429.0179052100002</v>
      </c>
      <c r="O16" s="13">
        <v>3485.0038620300002</v>
      </c>
      <c r="P16" s="13">
        <f>3856.93745521-P35</f>
        <v>3449.7166780299999</v>
      </c>
      <c r="Q16" s="13">
        <f>3924.4754199-Q35</f>
        <v>3513.0926275799998</v>
      </c>
      <c r="R16" s="13">
        <v>3354.0092946500004</v>
      </c>
      <c r="S16" s="13">
        <f>3818.75030389-S35</f>
        <v>3416.1084544400001</v>
      </c>
      <c r="T16" s="13">
        <v>3330.39901263</v>
      </c>
      <c r="U16" s="13">
        <f>3767.1044403-U35</f>
        <v>3368.4315138699999</v>
      </c>
      <c r="V16" s="13">
        <f>3662.38197328-V35</f>
        <v>3272.7585587599997</v>
      </c>
      <c r="W16" s="13">
        <f>3726.24614244-W35</f>
        <v>3341.4679784999998</v>
      </c>
      <c r="X16" s="13">
        <f>3585.36746942-X35</f>
        <v>3329.8676748499997</v>
      </c>
      <c r="Y16" s="13">
        <f>3546.10960949-Y35</f>
        <v>3295.19686215</v>
      </c>
      <c r="Z16" s="13">
        <f>3334.495-Z35</f>
        <v>3088.0364921699997</v>
      </c>
      <c r="AA16" s="13">
        <f>3923.286-AA35</f>
        <v>3683.4401203254592</v>
      </c>
      <c r="AB16" s="13">
        <f>2841.426-AB35</f>
        <v>2596.0407430499999</v>
      </c>
      <c r="AC16" s="13">
        <v>2615.6499999999996</v>
      </c>
      <c r="AD16" s="13">
        <v>2611.7799999999997</v>
      </c>
      <c r="AE16" s="13">
        <v>2686.3448447800001</v>
      </c>
      <c r="AF16" s="13">
        <f>2952.87638449-AF35</f>
        <v>2677.7029788199998</v>
      </c>
      <c r="AG16" s="13">
        <f>3055.63422723-AG35</f>
        <v>2771.8630394812817</v>
      </c>
      <c r="AH16" s="13">
        <f>3107.4072812-AH35</f>
        <v>2830.1322571680316</v>
      </c>
      <c r="AI16" s="13">
        <f>3233.28783324-AI35</f>
        <v>2939.85729068</v>
      </c>
      <c r="AJ16" s="13">
        <f>3097.27692122-AJ35</f>
        <v>2798.2076698600004</v>
      </c>
      <c r="AK16" s="13">
        <f>3152.9-AK35</f>
        <v>2853.3147218600002</v>
      </c>
      <c r="AL16" s="13">
        <f>3092.223-AL35</f>
        <v>2793.35203374</v>
      </c>
      <c r="AM16" s="13">
        <f>2862.59173+129.4</f>
        <v>2991.9917300000002</v>
      </c>
      <c r="AN16" s="13">
        <v>2803.8624415499999</v>
      </c>
      <c r="AO16" s="13">
        <v>3002.3604785199987</v>
      </c>
      <c r="AP16" s="13">
        <v>3042.1343944499995</v>
      </c>
    </row>
    <row r="17" spans="1:43" ht="4.5" customHeight="1">
      <c r="A17" s="1">
        <v>12</v>
      </c>
      <c r="C17" s="84"/>
      <c r="D17" s="84"/>
      <c r="E17" s="35"/>
      <c r="G17" s="53">
        <f t="shared" si="0"/>
        <v>12</v>
      </c>
    </row>
    <row r="18" spans="1:43">
      <c r="A18" s="1">
        <v>13</v>
      </c>
      <c r="B18" s="102" t="s">
        <v>221</v>
      </c>
      <c r="C18" s="112">
        <f>HLOOKUP($C$6,$H$6:$BK$18,$G18,FALSE)</f>
        <v>6130.6183248199995</v>
      </c>
      <c r="D18" s="112">
        <f>HLOOKUP($D$6,$H$6:$BK$18,$G18,FALSE)</f>
        <v>6325.6430216599992</v>
      </c>
      <c r="E18" s="94">
        <f>D18/C18-1</f>
        <v>3.1811586777541923E-2</v>
      </c>
      <c r="G18" s="53">
        <f t="shared" si="0"/>
        <v>13</v>
      </c>
      <c r="H18" s="102" t="s">
        <v>221</v>
      </c>
      <c r="I18" s="93">
        <f>SUM(I14:I16)</f>
        <v>5963.2306540000009</v>
      </c>
      <c r="J18" s="93">
        <f t="shared" ref="J18" si="6">SUM(J14:J16)</f>
        <v>5996.1005710999998</v>
      </c>
      <c r="K18" s="93">
        <f>SUM(K14:K16)</f>
        <v>6050.0419892099999</v>
      </c>
      <c r="L18" s="93">
        <f t="shared" ref="L18:N18" si="7">SUM(L14:L16)</f>
        <v>6075.8403642700005</v>
      </c>
      <c r="M18" s="93">
        <f t="shared" si="7"/>
        <v>6156.2008316399997</v>
      </c>
      <c r="N18" s="93">
        <f t="shared" si="7"/>
        <v>5910.4028212400008</v>
      </c>
      <c r="O18" s="93">
        <f t="shared" ref="O18:R18" si="8">SUM(O14:O16)</f>
        <v>6005.1448391100002</v>
      </c>
      <c r="P18" s="93">
        <f t="shared" si="8"/>
        <v>5994.3771225500004</v>
      </c>
      <c r="Q18" s="93">
        <f t="shared" si="8"/>
        <v>6049.3754122399996</v>
      </c>
      <c r="R18" s="93">
        <f t="shared" si="8"/>
        <v>5818.4996340400012</v>
      </c>
      <c r="S18" s="93">
        <f t="shared" ref="S18:Y18" si="9">SUM(S14:S16)</f>
        <v>5873.0599255899997</v>
      </c>
      <c r="T18" s="93">
        <f t="shared" si="9"/>
        <v>5784.1357809500005</v>
      </c>
      <c r="U18" s="93">
        <f t="shared" si="9"/>
        <v>5931.17600322</v>
      </c>
      <c r="V18" s="93">
        <f t="shared" si="9"/>
        <v>5769.7528770700001</v>
      </c>
      <c r="W18" s="93">
        <f t="shared" si="9"/>
        <v>5843.1204401699997</v>
      </c>
      <c r="X18" s="93">
        <f t="shared" si="9"/>
        <v>5876.7761575741733</v>
      </c>
      <c r="Y18" s="93">
        <f t="shared" si="9"/>
        <v>5959.6935400399998</v>
      </c>
      <c r="Z18" s="93">
        <f>SUM(Z14:Z16)</f>
        <v>5731.7145171299999</v>
      </c>
      <c r="AA18" s="93">
        <f>SUM(AA14:AA16)</f>
        <v>6438.5823065754594</v>
      </c>
      <c r="AB18" s="93">
        <f>SUM(AB14:AB16)</f>
        <v>5897.7884625999995</v>
      </c>
      <c r="AC18" s="93">
        <f>SUM(AC14:AC16)</f>
        <v>5639.44</v>
      </c>
      <c r="AD18" s="93">
        <f>SUM(AD14:AD16)</f>
        <v>5672.7599999999993</v>
      </c>
      <c r="AE18" s="93">
        <f>+AE14+AE15+AE16</f>
        <v>5718.6463493271103</v>
      </c>
      <c r="AF18" s="93">
        <f>+AF14+AF15+AF16</f>
        <v>5886.4955877622106</v>
      </c>
      <c r="AG18" s="93">
        <f>+AG14+AG15+AG16</f>
        <v>5920.4526385853023</v>
      </c>
      <c r="AH18" s="93">
        <f>+SUM(AH14:AH16)</f>
        <v>5907.5005784293016</v>
      </c>
      <c r="AI18" s="93">
        <f>SUM(AI14:AI16)</f>
        <v>6015.1883321250598</v>
      </c>
      <c r="AJ18" s="93">
        <f>6660.6919480686-AJ37</f>
        <v>5976.2292861885999</v>
      </c>
      <c r="AK18" s="93">
        <f>SUM(AK14:AK16)</f>
        <v>6010.9447218599998</v>
      </c>
      <c r="AL18" s="93">
        <f>SUM(AL14:AL16)</f>
        <v>5830.0586012799995</v>
      </c>
      <c r="AM18" s="93">
        <f>SUM(AM14:AM16)</f>
        <v>6032.1804499999998</v>
      </c>
      <c r="AN18" s="93">
        <f>SUM(AN14:AN16)</f>
        <v>6130.6183248199995</v>
      </c>
      <c r="AO18" s="93">
        <f t="shared" ref="AO18:AP18" si="10">SUM(AO14:AO16)</f>
        <v>6309.0279724499987</v>
      </c>
      <c r="AP18" s="93">
        <f t="shared" si="10"/>
        <v>6325.6430216599992</v>
      </c>
      <c r="AQ18" s="84"/>
    </row>
    <row r="23" spans="1:43" ht="23.25">
      <c r="B23" s="11" t="s">
        <v>29</v>
      </c>
      <c r="C23" s="12"/>
      <c r="D23" s="12"/>
      <c r="E23" s="12"/>
      <c r="H23" s="11" t="s">
        <v>29</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row>
    <row r="24" spans="1:43" ht="7.5" customHeight="1"/>
    <row r="25" spans="1:43" s="123" customFormat="1">
      <c r="A25" s="123">
        <v>1</v>
      </c>
      <c r="B25" s="3" t="s">
        <v>214</v>
      </c>
      <c r="C25" s="134" t="str">
        <f>C6</f>
        <v>4Q24</v>
      </c>
      <c r="D25" s="134" t="str">
        <f>D6</f>
        <v>2Q25</v>
      </c>
      <c r="E25" s="134" t="s">
        <v>100</v>
      </c>
      <c r="G25" s="124">
        <v>1</v>
      </c>
      <c r="H25" s="3" t="s">
        <v>214</v>
      </c>
      <c r="I25" s="134" t="s">
        <v>113</v>
      </c>
      <c r="J25" s="134" t="s">
        <v>114</v>
      </c>
      <c r="K25" s="134" t="s">
        <v>115</v>
      </c>
      <c r="L25" s="134" t="s">
        <v>116</v>
      </c>
      <c r="M25" s="134" t="s">
        <v>117</v>
      </c>
      <c r="N25" s="134" t="s">
        <v>118</v>
      </c>
      <c r="O25" s="134" t="s">
        <v>119</v>
      </c>
      <c r="P25" s="134" t="s">
        <v>120</v>
      </c>
      <c r="Q25" s="134" t="s">
        <v>121</v>
      </c>
      <c r="R25" s="134" t="s">
        <v>122</v>
      </c>
      <c r="S25" s="134" t="s">
        <v>123</v>
      </c>
      <c r="T25" s="134" t="s">
        <v>124</v>
      </c>
      <c r="U25" s="134" t="s">
        <v>125</v>
      </c>
      <c r="V25" s="134" t="s">
        <v>126</v>
      </c>
      <c r="W25" s="134" t="s">
        <v>127</v>
      </c>
      <c r="X25" s="134" t="s">
        <v>128</v>
      </c>
      <c r="Y25" s="134" t="s">
        <v>129</v>
      </c>
      <c r="Z25" s="134" t="s">
        <v>130</v>
      </c>
      <c r="AA25" s="134" t="s">
        <v>131</v>
      </c>
      <c r="AB25" s="134" t="s">
        <v>132</v>
      </c>
      <c r="AC25" s="134" t="s">
        <v>133</v>
      </c>
      <c r="AD25" s="134" t="s">
        <v>134</v>
      </c>
      <c r="AE25" s="134" t="s">
        <v>135</v>
      </c>
      <c r="AF25" s="134" t="s">
        <v>136</v>
      </c>
      <c r="AG25" s="134" t="s">
        <v>137</v>
      </c>
      <c r="AH25" s="134" t="s">
        <v>138</v>
      </c>
      <c r="AI25" s="134" t="s">
        <v>139</v>
      </c>
      <c r="AJ25" s="134" t="s">
        <v>98</v>
      </c>
      <c r="AK25" s="134" t="s">
        <v>140</v>
      </c>
      <c r="AL25" s="134" t="s">
        <v>141</v>
      </c>
      <c r="AM25" s="134" t="s">
        <v>142</v>
      </c>
      <c r="AN25" s="134" t="s">
        <v>99</v>
      </c>
      <c r="AO25" s="134" t="s">
        <v>236</v>
      </c>
      <c r="AP25" s="134" t="s">
        <v>237</v>
      </c>
    </row>
    <row r="26" spans="1:43" s="123" customFormat="1">
      <c r="A26" s="123">
        <v>2</v>
      </c>
      <c r="B26" s="3" t="s">
        <v>166</v>
      </c>
      <c r="C26" s="134"/>
      <c r="D26" s="134"/>
      <c r="E26" s="134"/>
      <c r="G26" s="124">
        <f>G25+1</f>
        <v>2</v>
      </c>
      <c r="H26" s="3" t="s">
        <v>166</v>
      </c>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row>
    <row r="27" spans="1:43" ht="4.5" customHeight="1">
      <c r="A27" s="1">
        <v>3</v>
      </c>
      <c r="G27" s="53">
        <f t="shared" ref="G27:G37" si="11">G26+1</f>
        <v>3</v>
      </c>
    </row>
    <row r="28" spans="1:43">
      <c r="A28" s="1">
        <v>4</v>
      </c>
      <c r="B28" s="5" t="s">
        <v>215</v>
      </c>
      <c r="C28" s="51">
        <f>HLOOKUP($C$25,$H$25:$BE$37,$G28,FALSE)</f>
        <v>99.294908902690167</v>
      </c>
      <c r="D28" s="51">
        <f>HLOOKUP($D$25,$H$25:$BE$37,$G28,FALSE)</f>
        <v>114.13120990999998</v>
      </c>
      <c r="E28" s="32">
        <f>D28/C28-1</f>
        <v>0.14941653274338074</v>
      </c>
      <c r="G28" s="53">
        <f t="shared" si="11"/>
        <v>4</v>
      </c>
      <c r="H28" s="5" t="s">
        <v>215</v>
      </c>
      <c r="I28" s="13">
        <v>99.084344999999999</v>
      </c>
      <c r="J28" s="13">
        <v>101.61696936</v>
      </c>
      <c r="K28" s="13">
        <v>103.71705962999999</v>
      </c>
      <c r="L28" s="13">
        <v>110.32355256999999</v>
      </c>
      <c r="M28" s="13">
        <v>97.451427910000007</v>
      </c>
      <c r="N28" s="13">
        <v>104.49759676000001</v>
      </c>
      <c r="O28" s="13">
        <v>97.678491099999988</v>
      </c>
      <c r="P28" s="13">
        <v>71.835890230000004</v>
      </c>
      <c r="Q28" s="13">
        <v>66.734628219999991</v>
      </c>
      <c r="R28" s="13">
        <v>67.594024689999998</v>
      </c>
      <c r="S28" s="13">
        <v>60.578654739999998</v>
      </c>
      <c r="T28" s="13">
        <v>70.365920110000005</v>
      </c>
      <c r="U28" s="13">
        <v>73.805152500000005</v>
      </c>
      <c r="V28" s="13">
        <v>91.276247429999998</v>
      </c>
      <c r="W28" s="13">
        <v>78.185416680000003</v>
      </c>
      <c r="X28" s="13">
        <v>74.501601039999997</v>
      </c>
      <c r="Y28" s="13">
        <v>64.393371309999992</v>
      </c>
      <c r="Z28" s="13">
        <v>76.528576600000008</v>
      </c>
      <c r="AA28" s="13">
        <v>60.748749866711798</v>
      </c>
      <c r="AB28" s="13">
        <v>65.343655979999994</v>
      </c>
      <c r="AC28" s="13">
        <v>65.586164040637385</v>
      </c>
      <c r="AD28" s="13">
        <v>77.477328758716951</v>
      </c>
      <c r="AE28" s="13">
        <v>66.642265366065686</v>
      </c>
      <c r="AF28" s="13">
        <v>103.05198004650559</v>
      </c>
      <c r="AG28" s="13">
        <v>81.579467939166221</v>
      </c>
      <c r="AH28" s="13">
        <v>75.486294519961703</v>
      </c>
      <c r="AI28" s="13">
        <v>112.14266333</v>
      </c>
      <c r="AJ28" s="13">
        <v>91.807480220000002</v>
      </c>
      <c r="AK28" s="13">
        <v>87.578628250000008</v>
      </c>
      <c r="AL28" s="13">
        <v>103.00071677000001</v>
      </c>
      <c r="AM28" s="13">
        <v>102.4329743</v>
      </c>
      <c r="AN28" s="13">
        <f>1200.07622790269 -AN9</f>
        <v>99.294908902690167</v>
      </c>
      <c r="AO28" s="13">
        <v>101.35678738</v>
      </c>
      <c r="AP28" s="13">
        <v>114.13120990999998</v>
      </c>
    </row>
    <row r="29" spans="1:43">
      <c r="A29" s="1">
        <v>5</v>
      </c>
      <c r="B29" s="5" t="s">
        <v>216</v>
      </c>
      <c r="C29" s="51">
        <f>HLOOKUP($C$25,$H$25:$BE$37,$G29,FALSE)</f>
        <v>552.15335651353053</v>
      </c>
      <c r="D29" s="51">
        <f>HLOOKUP($D$25,$H$25:$BE$37,$G29,FALSE)</f>
        <v>547.71287045999998</v>
      </c>
      <c r="E29" s="32">
        <f>D29/C29-1</f>
        <v>-8.0421245314330481E-3</v>
      </c>
      <c r="G29" s="53">
        <f t="shared" si="11"/>
        <v>5</v>
      </c>
      <c r="H29" s="5" t="s">
        <v>216</v>
      </c>
      <c r="I29" s="13">
        <v>734.85100731999989</v>
      </c>
      <c r="J29" s="13">
        <v>728.05867406999994</v>
      </c>
      <c r="K29" s="13">
        <v>743.07765096000014</v>
      </c>
      <c r="L29" s="13">
        <v>736.37788302000001</v>
      </c>
      <c r="M29" s="13">
        <v>732.46127262999994</v>
      </c>
      <c r="N29" s="13">
        <v>723.52039917000002</v>
      </c>
      <c r="O29" s="13">
        <v>716.73618529000032</v>
      </c>
      <c r="P29" s="13">
        <v>712.13567955000008</v>
      </c>
      <c r="Q29" s="13">
        <v>734.36199522000004</v>
      </c>
      <c r="R29" s="13">
        <v>861.97988807999991</v>
      </c>
      <c r="S29" s="13">
        <v>846.46210432999999</v>
      </c>
      <c r="T29" s="13">
        <v>850.84815062999985</v>
      </c>
      <c r="U29" s="13">
        <v>856.51394486999993</v>
      </c>
      <c r="V29" s="13">
        <v>841.63348233999989</v>
      </c>
      <c r="W29" s="13">
        <v>810.33256488999984</v>
      </c>
      <c r="X29" s="13">
        <v>682.61372834999975</v>
      </c>
      <c r="Y29" s="13">
        <v>669.62849803999984</v>
      </c>
      <c r="Z29" s="13">
        <v>659.51417529999992</v>
      </c>
      <c r="AA29" s="13">
        <v>644.9404339803865</v>
      </c>
      <c r="AB29" s="13">
        <v>639.35080313999947</v>
      </c>
      <c r="AC29" s="13">
        <v>644.24248148931088</v>
      </c>
      <c r="AD29" s="13">
        <v>634.60129822443957</v>
      </c>
      <c r="AE29" s="13">
        <v>620.65396958378119</v>
      </c>
      <c r="AF29" s="13">
        <v>616.42618090415044</v>
      </c>
      <c r="AG29" s="13">
        <v>614.33749086771593</v>
      </c>
      <c r="AH29" s="13">
        <v>616.20326989380942</v>
      </c>
      <c r="AI29" s="13">
        <v>600.78904094000018</v>
      </c>
      <c r="AJ29" s="13">
        <v>592.65518166000015</v>
      </c>
      <c r="AK29" s="13">
        <v>581.83342091000031</v>
      </c>
      <c r="AL29" s="13">
        <v>568.24146069000005</v>
      </c>
      <c r="AM29" s="13">
        <v>563.45038733000001</v>
      </c>
      <c r="AN29" s="13">
        <f>5708.12793322353 -AN10</f>
        <v>552.15335651353053</v>
      </c>
      <c r="AO29" s="13">
        <v>547.61885804000008</v>
      </c>
      <c r="AP29" s="13">
        <v>547.71287045999998</v>
      </c>
    </row>
    <row r="30" spans="1:43" ht="4.5" customHeight="1">
      <c r="A30" s="1">
        <v>6</v>
      </c>
      <c r="C30" s="84"/>
      <c r="D30" s="84"/>
      <c r="E30" s="35"/>
      <c r="G30" s="53">
        <f t="shared" si="11"/>
        <v>6</v>
      </c>
    </row>
    <row r="31" spans="1:43">
      <c r="A31" s="1">
        <v>7</v>
      </c>
      <c r="B31" s="102" t="s">
        <v>217</v>
      </c>
      <c r="C31" s="112">
        <f>HLOOKUP($C$25,$H$25:$BE$37,$G31,FALSE)</f>
        <v>651.44826541622069</v>
      </c>
      <c r="D31" s="112">
        <f>HLOOKUP($D$25,$H$25:$BE$37,$G31,FALSE)</f>
        <v>661.84408036999992</v>
      </c>
      <c r="E31" s="94">
        <f>D31/C31-1</f>
        <v>1.5958005425246169E-2</v>
      </c>
      <c r="G31" s="53">
        <f t="shared" si="11"/>
        <v>7</v>
      </c>
      <c r="H31" s="102" t="s">
        <v>217</v>
      </c>
      <c r="I31" s="93">
        <f>I29+I28</f>
        <v>833.93535231999988</v>
      </c>
      <c r="J31" s="93">
        <f t="shared" ref="J31:K31" si="12">J29+J28</f>
        <v>829.67564342999992</v>
      </c>
      <c r="K31" s="93">
        <f t="shared" si="12"/>
        <v>846.79471059000014</v>
      </c>
      <c r="L31" s="93">
        <f t="shared" ref="L31:N31" si="13">L29+L28</f>
        <v>846.70143558999996</v>
      </c>
      <c r="M31" s="93">
        <f t="shared" si="13"/>
        <v>829.91270053999995</v>
      </c>
      <c r="N31" s="93">
        <f t="shared" si="13"/>
        <v>828.01799592999998</v>
      </c>
      <c r="O31" s="93">
        <f t="shared" ref="O31" si="14">O29+O28</f>
        <v>814.4146763900003</v>
      </c>
      <c r="P31" s="93">
        <f t="shared" ref="P31:AA31" si="15">+P28+P29</f>
        <v>783.9715697800001</v>
      </c>
      <c r="Q31" s="93">
        <f t="shared" si="15"/>
        <v>801.09662344000003</v>
      </c>
      <c r="R31" s="93">
        <f t="shared" si="15"/>
        <v>929.57391276999988</v>
      </c>
      <c r="S31" s="93">
        <f t="shared" si="15"/>
        <v>907.04075907000004</v>
      </c>
      <c r="T31" s="93">
        <f t="shared" si="15"/>
        <v>921.2140707399999</v>
      </c>
      <c r="U31" s="93">
        <f t="shared" si="15"/>
        <v>930.31909736999989</v>
      </c>
      <c r="V31" s="93">
        <f t="shared" si="15"/>
        <v>932.9097297699999</v>
      </c>
      <c r="W31" s="93">
        <f t="shared" si="15"/>
        <v>888.51798156999985</v>
      </c>
      <c r="X31" s="93">
        <f t="shared" si="15"/>
        <v>757.11532938999972</v>
      </c>
      <c r="Y31" s="93">
        <f t="shared" si="15"/>
        <v>734.02186934999986</v>
      </c>
      <c r="Z31" s="93">
        <f t="shared" si="15"/>
        <v>736.04275189999998</v>
      </c>
      <c r="AA31" s="93">
        <f t="shared" si="15"/>
        <v>705.68918384709832</v>
      </c>
      <c r="AB31" s="93">
        <f t="shared" ref="AB31:AH31" si="16">+AB28+AB29</f>
        <v>704.69445911999946</v>
      </c>
      <c r="AC31" s="93">
        <f t="shared" si="16"/>
        <v>709.82864552994829</v>
      </c>
      <c r="AD31" s="93">
        <f t="shared" si="16"/>
        <v>712.07862698315648</v>
      </c>
      <c r="AE31" s="93">
        <f t="shared" si="16"/>
        <v>687.29623494984685</v>
      </c>
      <c r="AF31" s="93">
        <f t="shared" si="16"/>
        <v>719.47816095065605</v>
      </c>
      <c r="AG31" s="93">
        <f t="shared" si="16"/>
        <v>695.91695880688212</v>
      </c>
      <c r="AH31" s="93">
        <f t="shared" si="16"/>
        <v>691.68956441377111</v>
      </c>
      <c r="AI31" s="93">
        <v>712.93170427000018</v>
      </c>
      <c r="AJ31" s="93">
        <f>SUM(AJ28:AJ29)</f>
        <v>684.46266188000016</v>
      </c>
      <c r="AK31" s="93">
        <f>SUM(AK28:AK29)</f>
        <v>669.41204916000038</v>
      </c>
      <c r="AL31" s="93">
        <f>SUM(AL28:AL29)</f>
        <v>671.24217746000011</v>
      </c>
      <c r="AM31" s="93">
        <f>SUM(AM28:AM29)</f>
        <v>665.88336162999997</v>
      </c>
      <c r="AN31" s="93">
        <f>SUM(AN28:AN29)</f>
        <v>651.44826541622069</v>
      </c>
      <c r="AO31" s="93">
        <f t="shared" ref="AO31:AP31" si="17">SUM(AO28:AO29)</f>
        <v>648.97564542000009</v>
      </c>
      <c r="AP31" s="93">
        <f t="shared" si="17"/>
        <v>661.84408036999992</v>
      </c>
    </row>
    <row r="32" spans="1:43" ht="4.5" customHeight="1">
      <c r="A32" s="1">
        <v>8</v>
      </c>
      <c r="C32" s="84"/>
      <c r="D32" s="84"/>
      <c r="E32" s="35"/>
      <c r="G32" s="53">
        <f t="shared" si="11"/>
        <v>8</v>
      </c>
    </row>
    <row r="33" spans="1:42">
      <c r="A33" s="1">
        <v>9</v>
      </c>
      <c r="B33" s="5" t="s">
        <v>218</v>
      </c>
      <c r="C33" s="51">
        <f>HLOOKUP($C$25,$H$25:$BE$37,$G33,FALSE)</f>
        <v>77.289836730366005</v>
      </c>
      <c r="D33" s="51">
        <f>HLOOKUP($D$25,$H$25:$BE$37,$G33,FALSE)</f>
        <v>83.231348110000013</v>
      </c>
      <c r="E33" s="32">
        <f>D33/C33-1</f>
        <v>7.6873126286469251E-2</v>
      </c>
      <c r="G33" s="53">
        <f t="shared" si="11"/>
        <v>9</v>
      </c>
      <c r="H33" s="5" t="s">
        <v>218</v>
      </c>
      <c r="I33" s="13">
        <v>22.336485010000001</v>
      </c>
      <c r="J33" s="13">
        <v>20.85197148</v>
      </c>
      <c r="K33" s="13">
        <v>28.26018797</v>
      </c>
      <c r="L33" s="13">
        <v>33.207928359999997</v>
      </c>
      <c r="M33" s="13">
        <v>34.073178300000009</v>
      </c>
      <c r="N33" s="13">
        <v>35.731892770000002</v>
      </c>
      <c r="O33" s="13">
        <v>42.527268629999995</v>
      </c>
      <c r="P33" s="13">
        <v>43.461694860000001</v>
      </c>
      <c r="Q33" s="13">
        <v>46.144760060000003</v>
      </c>
      <c r="R33" s="13">
        <v>53.074400949999998</v>
      </c>
      <c r="S33" s="13">
        <v>59.945577559999997</v>
      </c>
      <c r="T33" s="13">
        <v>70.349828369999997</v>
      </c>
      <c r="U33" s="13">
        <v>99.542531269999998</v>
      </c>
      <c r="V33" s="13">
        <v>112.79794502</v>
      </c>
      <c r="W33" s="13">
        <v>91.875777339999999</v>
      </c>
      <c r="X33" s="13">
        <v>91.141456650000023</v>
      </c>
      <c r="Y33" s="13">
        <v>87.920444109999991</v>
      </c>
      <c r="Z33" s="13">
        <v>95.916975039999997</v>
      </c>
      <c r="AA33" s="13">
        <v>92.404557069999981</v>
      </c>
      <c r="AB33" s="13">
        <v>86.174085669999997</v>
      </c>
      <c r="AC33" s="13">
        <v>90.871895529999989</v>
      </c>
      <c r="AD33" s="13">
        <v>97.624676279999989</v>
      </c>
      <c r="AE33" s="13">
        <v>93.492296210000006</v>
      </c>
      <c r="AF33" s="13">
        <v>113.00115142</v>
      </c>
      <c r="AG33" s="13">
        <v>95.105763310000015</v>
      </c>
      <c r="AH33" s="13">
        <v>99.452457280000004</v>
      </c>
      <c r="AI33" s="13">
        <v>118.67860034000002</v>
      </c>
      <c r="AJ33" s="13">
        <v>86.681342430000001</v>
      </c>
      <c r="AK33" s="13">
        <v>81.363274940000011</v>
      </c>
      <c r="AL33" s="13">
        <v>86.100432460000007</v>
      </c>
      <c r="AM33" s="13">
        <v>81.810877219999995</v>
      </c>
      <c r="AN33" s="13">
        <f>370.155382800366-AN14</f>
        <v>77.289836730366005</v>
      </c>
      <c r="AO33" s="13">
        <v>77.633119739999998</v>
      </c>
      <c r="AP33" s="13">
        <v>83.231348110000013</v>
      </c>
    </row>
    <row r="34" spans="1:42">
      <c r="A34" s="1">
        <v>10</v>
      </c>
      <c r="B34" s="5" t="s">
        <v>222</v>
      </c>
      <c r="C34" s="51">
        <f>HLOOKUP($C$25,$H$25:$BE$37,$G34,FALSE)</f>
        <v>273.76268709594024</v>
      </c>
      <c r="D34" s="51">
        <f>HLOOKUP($D$25,$H$25:$BE$37,$G34,FALSE)</f>
        <v>259.85900346999995</v>
      </c>
      <c r="E34" s="32">
        <f t="shared" ref="E34:E35" si="18">D34/C34-1</f>
        <v>-5.0787358107234448E-2</v>
      </c>
      <c r="G34" s="53">
        <f t="shared" si="11"/>
        <v>10</v>
      </c>
      <c r="H34" s="5" t="s">
        <v>222</v>
      </c>
      <c r="I34" s="13">
        <v>374.89243102999995</v>
      </c>
      <c r="J34" s="13">
        <v>373.39117074000001</v>
      </c>
      <c r="K34" s="13">
        <v>358.59106495999998</v>
      </c>
      <c r="L34" s="13">
        <v>354.05204652999998</v>
      </c>
      <c r="M34" s="13">
        <v>347.86783338999999</v>
      </c>
      <c r="N34" s="13">
        <v>347.68134299999997</v>
      </c>
      <c r="O34" s="13">
        <v>333.21886042</v>
      </c>
      <c r="P34" s="13">
        <v>333.28909773999993</v>
      </c>
      <c r="Q34" s="13">
        <v>343.56907105999994</v>
      </c>
      <c r="R34" s="13">
        <v>464.94667656999997</v>
      </c>
      <c r="S34" s="13">
        <v>444.45333205999998</v>
      </c>
      <c r="T34" s="13">
        <v>445.62806600999994</v>
      </c>
      <c r="U34" s="13">
        <v>432.10363967000006</v>
      </c>
      <c r="V34" s="13">
        <v>430.48837023000004</v>
      </c>
      <c r="W34" s="13">
        <v>411.86404028999999</v>
      </c>
      <c r="X34" s="13">
        <v>410.47415591999999</v>
      </c>
      <c r="Y34" s="13">
        <v>395.2</v>
      </c>
      <c r="Z34" s="13">
        <v>393.59999999999997</v>
      </c>
      <c r="AA34" s="13">
        <v>373.40425668</v>
      </c>
      <c r="AB34" s="13">
        <v>373.16019477999998</v>
      </c>
      <c r="AC34" s="13">
        <v>356.72701661999997</v>
      </c>
      <c r="AD34" s="13">
        <v>354.46523908000006</v>
      </c>
      <c r="AE34" s="13">
        <v>333.56939058</v>
      </c>
      <c r="AF34" s="13">
        <v>331.30360394999997</v>
      </c>
      <c r="AG34" s="13">
        <v>317.04000774999997</v>
      </c>
      <c r="AH34" s="13">
        <v>314.96208311000004</v>
      </c>
      <c r="AI34" s="13">
        <v>300.82256137000002</v>
      </c>
      <c r="AJ34" s="13">
        <v>298.71206809</v>
      </c>
      <c r="AK34" s="13">
        <v>288.46349608000003</v>
      </c>
      <c r="AL34" s="13">
        <v>286.27077874000003</v>
      </c>
      <c r="AM34" s="13">
        <v>276.00658606000002</v>
      </c>
      <c r="AN34" s="13">
        <f>3307.65302429594 -AN15</f>
        <v>273.76268709594024</v>
      </c>
      <c r="AO34" s="13">
        <v>262.31655753999996</v>
      </c>
      <c r="AP34" s="13">
        <v>259.85900346999995</v>
      </c>
    </row>
    <row r="35" spans="1:42">
      <c r="A35" s="1">
        <v>11</v>
      </c>
      <c r="B35" s="5" t="s">
        <v>223</v>
      </c>
      <c r="C35" s="51">
        <f>HLOOKUP($C$25,$H$25:$BE$37,$G35,FALSE)</f>
        <v>426.53343082786023</v>
      </c>
      <c r="D35" s="51">
        <f>HLOOKUP($D$25,$H$25:$BE$37,$G35,FALSE)</f>
        <v>318.75511347999998</v>
      </c>
      <c r="E35" s="32">
        <f t="shared" si="18"/>
        <v>-0.25268433740040719</v>
      </c>
      <c r="G35" s="53">
        <f t="shared" si="11"/>
        <v>11</v>
      </c>
      <c r="H35" s="5" t="s">
        <v>223</v>
      </c>
      <c r="I35" s="13">
        <v>436.70643628000005</v>
      </c>
      <c r="J35" s="13">
        <v>435.43250121000005</v>
      </c>
      <c r="K35" s="13">
        <v>459.94345766000004</v>
      </c>
      <c r="L35" s="13">
        <v>459.44146069999994</v>
      </c>
      <c r="M35" s="13">
        <v>447.97168884999991</v>
      </c>
      <c r="N35" s="13">
        <v>444.60476015999996</v>
      </c>
      <c r="O35" s="13">
        <v>438.66854733999998</v>
      </c>
      <c r="P35" s="13">
        <v>407.22077717999997</v>
      </c>
      <c r="Q35" s="13">
        <v>411.38279232000002</v>
      </c>
      <c r="R35" s="13">
        <v>411.55283524999999</v>
      </c>
      <c r="S35" s="13">
        <v>402.64184945</v>
      </c>
      <c r="T35" s="13">
        <v>405.23617636</v>
      </c>
      <c r="U35" s="13">
        <v>398.67292643000002</v>
      </c>
      <c r="V35" s="13">
        <v>389.62341451999998</v>
      </c>
      <c r="W35" s="13">
        <v>384.77816394000001</v>
      </c>
      <c r="X35" s="13">
        <v>255.49979457000001</v>
      </c>
      <c r="Y35" s="13">
        <v>250.91274734000004</v>
      </c>
      <c r="Z35" s="13">
        <v>246.45850783000003</v>
      </c>
      <c r="AA35" s="13">
        <v>239.84587967454101</v>
      </c>
      <c r="AB35" s="13">
        <v>245.38525695000001</v>
      </c>
      <c r="AC35" s="13">
        <v>262.22684147986359</v>
      </c>
      <c r="AD35" s="13">
        <v>259.98871162307182</v>
      </c>
      <c r="AE35" s="13">
        <v>260.23454816000003</v>
      </c>
      <c r="AF35" s="13">
        <v>275.17340567000002</v>
      </c>
      <c r="AG35" s="13">
        <v>283.77118774871826</v>
      </c>
      <c r="AH35" s="13">
        <v>277.27502403196837</v>
      </c>
      <c r="AI35" s="13">
        <v>293.43054256000005</v>
      </c>
      <c r="AJ35" s="13">
        <v>299.06925135999995</v>
      </c>
      <c r="AK35" s="13">
        <v>299.58527814000001</v>
      </c>
      <c r="AL35" s="13">
        <v>298.87096625999993</v>
      </c>
      <c r="AM35" s="13">
        <v>308.06589835000005</v>
      </c>
      <c r="AN35" s="13">
        <f>3230.39587237786-AN16</f>
        <v>426.53343082786023</v>
      </c>
      <c r="AO35" s="13">
        <v>309.02638750000006</v>
      </c>
      <c r="AP35" s="13">
        <v>318.75511347999998</v>
      </c>
    </row>
    <row r="36" spans="1:42" ht="4.5" customHeight="1">
      <c r="A36" s="1">
        <v>12</v>
      </c>
      <c r="C36" s="84"/>
      <c r="D36" s="84"/>
      <c r="E36" s="35"/>
      <c r="G36" s="53">
        <f t="shared" si="11"/>
        <v>12</v>
      </c>
    </row>
    <row r="37" spans="1:42">
      <c r="A37" s="1">
        <v>13</v>
      </c>
      <c r="B37" s="102" t="s">
        <v>221</v>
      </c>
      <c r="C37" s="112">
        <f>HLOOKUP($C$25,$H$25:$BE$37,$G37,FALSE)</f>
        <v>777.58595465416647</v>
      </c>
      <c r="D37" s="112">
        <f>HLOOKUP($D$25,$H$25:$BE$37,$G37,FALSE)</f>
        <v>661.84546505999992</v>
      </c>
      <c r="E37" s="94">
        <f>D37/C37-1</f>
        <v>-0.14884591073361464</v>
      </c>
      <c r="G37" s="53">
        <f t="shared" si="11"/>
        <v>13</v>
      </c>
      <c r="H37" s="102" t="s">
        <v>221</v>
      </c>
      <c r="I37" s="93">
        <f>SUM(I33:I35)</f>
        <v>833.93535231999999</v>
      </c>
      <c r="J37" s="93">
        <f t="shared" ref="J37:K37" si="19">SUM(J33:J35)</f>
        <v>829.67564343000004</v>
      </c>
      <c r="K37" s="93">
        <f t="shared" si="19"/>
        <v>846.79471059000002</v>
      </c>
      <c r="L37" s="93">
        <f t="shared" ref="L37:N37" si="20">SUM(L33:L35)</f>
        <v>846.70143558999985</v>
      </c>
      <c r="M37" s="93">
        <f t="shared" si="20"/>
        <v>829.91270053999983</v>
      </c>
      <c r="N37" s="93">
        <f t="shared" si="20"/>
        <v>828.01799592999987</v>
      </c>
      <c r="O37" s="93">
        <f t="shared" ref="O37:S37" si="21">SUM(O33:O35)</f>
        <v>814.41467638999995</v>
      </c>
      <c r="P37" s="93">
        <f t="shared" si="21"/>
        <v>783.97156977999998</v>
      </c>
      <c r="Q37" s="93">
        <f t="shared" si="21"/>
        <v>801.09662344000003</v>
      </c>
      <c r="R37" s="93">
        <f t="shared" si="21"/>
        <v>929.57391276999988</v>
      </c>
      <c r="S37" s="93">
        <f t="shared" si="21"/>
        <v>907.04075906999992</v>
      </c>
      <c r="T37" s="93">
        <f t="shared" ref="T37:U37" si="22">SUM(T33:T35)</f>
        <v>921.2140707399999</v>
      </c>
      <c r="U37" s="93">
        <f t="shared" si="22"/>
        <v>930.31909737000001</v>
      </c>
      <c r="V37" s="93">
        <f>SUM(V33:V35)</f>
        <v>932.90972977000001</v>
      </c>
      <c r="W37" s="93">
        <f>SUM(W33:W35)</f>
        <v>888.51798157000007</v>
      </c>
      <c r="X37" s="93">
        <f>SUM(X33:X35)</f>
        <v>757.11540714</v>
      </c>
      <c r="Y37" s="93">
        <f t="shared" ref="Y37" si="23">SUM(Y33:Y35)</f>
        <v>734.03319145</v>
      </c>
      <c r="Z37" s="93">
        <f t="shared" ref="Z37:AF37" si="24">SUM(Z33:Z35)</f>
        <v>735.97548286999995</v>
      </c>
      <c r="AA37" s="93">
        <f t="shared" si="24"/>
        <v>705.65469342454105</v>
      </c>
      <c r="AB37" s="93">
        <f t="shared" si="24"/>
        <v>704.71953740000004</v>
      </c>
      <c r="AC37" s="93">
        <f t="shared" si="24"/>
        <v>709.82575362986358</v>
      </c>
      <c r="AD37" s="93">
        <f t="shared" si="24"/>
        <v>712.0786269830719</v>
      </c>
      <c r="AE37" s="93">
        <f t="shared" si="24"/>
        <v>687.2962349500001</v>
      </c>
      <c r="AF37" s="93">
        <f t="shared" si="24"/>
        <v>719.47816104000003</v>
      </c>
      <c r="AG37" s="93">
        <f>+AG33+AG34+AG35</f>
        <v>695.91695880871828</v>
      </c>
      <c r="AH37" s="93">
        <f t="shared" ref="AH37" si="25">+AH33+AH34+AH35</f>
        <v>691.6895644219685</v>
      </c>
      <c r="AI37" s="93">
        <f>+AI33+AI34+AI35</f>
        <v>712.93170427000007</v>
      </c>
      <c r="AJ37" s="93">
        <f>SUM(AJ33:AJ35)</f>
        <v>684.46266187999993</v>
      </c>
      <c r="AK37" s="93">
        <f>SUM(AK33:AK35)</f>
        <v>669.41204916000004</v>
      </c>
      <c r="AL37" s="93">
        <f>SUM(AL33:AL35)</f>
        <v>671.24217745999999</v>
      </c>
      <c r="AM37" s="93">
        <f>SUM(AM33:AM35)</f>
        <v>665.88336163000008</v>
      </c>
      <c r="AN37" s="93">
        <f>SUM(AN33:AN35)</f>
        <v>777.58595465416647</v>
      </c>
      <c r="AO37" s="93">
        <f t="shared" ref="AO37:AP37" si="26">SUM(AO33:AO35)</f>
        <v>648.97606478</v>
      </c>
      <c r="AP37" s="93">
        <f t="shared" si="26"/>
        <v>661.84546505999992</v>
      </c>
    </row>
  </sheetData>
  <mergeCells count="74">
    <mergeCell ref="AM6:AM7"/>
    <mergeCell ref="AM25:AM26"/>
    <mergeCell ref="AL6:AL7"/>
    <mergeCell ref="AL25:AL26"/>
    <mergeCell ref="AG6:AG7"/>
    <mergeCell ref="AG25:AG26"/>
    <mergeCell ref="AH6:AH7"/>
    <mergeCell ref="AH25:AH26"/>
    <mergeCell ref="AJ25:AJ26"/>
    <mergeCell ref="AI6:AI7"/>
    <mergeCell ref="AI25:AI26"/>
    <mergeCell ref="C25:C26"/>
    <mergeCell ref="D25:D26"/>
    <mergeCell ref="E25:E26"/>
    <mergeCell ref="U6:U7"/>
    <mergeCell ref="U25:U26"/>
    <mergeCell ref="P25:P26"/>
    <mergeCell ref="O25:O26"/>
    <mergeCell ref="N6:N7"/>
    <mergeCell ref="N25:N26"/>
    <mergeCell ref="T25:T26"/>
    <mergeCell ref="T6:T7"/>
    <mergeCell ref="S6:S7"/>
    <mergeCell ref="C6:C7"/>
    <mergeCell ref="D6:D7"/>
    <mergeCell ref="E6:E7"/>
    <mergeCell ref="I6:I7"/>
    <mergeCell ref="V25:V26"/>
    <mergeCell ref="K6:K7"/>
    <mergeCell ref="Q25:Q26"/>
    <mergeCell ref="O6:O7"/>
    <mergeCell ref="S25:S26"/>
    <mergeCell ref="R6:R7"/>
    <mergeCell ref="R25:R26"/>
    <mergeCell ref="P6:P7"/>
    <mergeCell ref="Q6:Q7"/>
    <mergeCell ref="I25:I26"/>
    <mergeCell ref="L6:L7"/>
    <mergeCell ref="J25:J26"/>
    <mergeCell ref="K25:K26"/>
    <mergeCell ref="Z6:Z7"/>
    <mergeCell ref="Z25:Z26"/>
    <mergeCell ref="L25:L26"/>
    <mergeCell ref="M6:M7"/>
    <mergeCell ref="W25:W26"/>
    <mergeCell ref="W6:W7"/>
    <mergeCell ref="X25:X26"/>
    <mergeCell ref="Y6:Y7"/>
    <mergeCell ref="Y25:Y26"/>
    <mergeCell ref="M25:M26"/>
    <mergeCell ref="J6:J7"/>
    <mergeCell ref="V6:V7"/>
    <mergeCell ref="AF25:AF26"/>
    <mergeCell ref="AK6:AK7"/>
    <mergeCell ref="AK25:AK26"/>
    <mergeCell ref="AJ6:AJ7"/>
    <mergeCell ref="X6:X7"/>
    <mergeCell ref="AA6:AA7"/>
    <mergeCell ref="AO6:AO7"/>
    <mergeCell ref="AP6:AP7"/>
    <mergeCell ref="AO25:AO26"/>
    <mergeCell ref="AP25:AP26"/>
    <mergeCell ref="AA25:AA26"/>
    <mergeCell ref="AB6:AB7"/>
    <mergeCell ref="AB25:AB26"/>
    <mergeCell ref="AN6:AN7"/>
    <mergeCell ref="AN25:AN26"/>
    <mergeCell ref="AD6:AD7"/>
    <mergeCell ref="AD25:AD26"/>
    <mergeCell ref="AC6:AC7"/>
    <mergeCell ref="AC25:AC26"/>
    <mergeCell ref="AE6:AE7"/>
    <mergeCell ref="AE25:AE26"/>
    <mergeCell ref="AF6:AF7"/>
  </mergeCells>
  <pageMargins left="0.7" right="0.7" top="0.75" bottom="0.75" header="0.3" footer="0.3"/>
  <pageSetup orientation="portrait" r:id="rId1"/>
  <ignoredErrors>
    <ignoredError sqref="E28:E31 E33:E37" evalError="1"/>
    <ignoredError sqref="AJ1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79998168889431442"/>
  </sheetPr>
  <dimension ref="A4:BC31"/>
  <sheetViews>
    <sheetView zoomScaleNormal="100" workbookViewId="0"/>
  </sheetViews>
  <sheetFormatPr defaultColWidth="11.42578125" defaultRowHeight="15"/>
  <cols>
    <col min="1" max="1" width="22.85546875" style="1" bestFit="1" customWidth="1"/>
    <col min="2" max="3" width="8.85546875" style="1" bestFit="1" customWidth="1"/>
    <col min="4" max="4" width="7.42578125" style="1" bestFit="1" customWidth="1"/>
    <col min="5" max="5" width="11.42578125" style="1"/>
    <col min="6" max="6" width="2.140625" style="53" bestFit="1" customWidth="1"/>
    <col min="7" max="7" width="28.140625" style="1" bestFit="1" customWidth="1"/>
    <col min="8" max="52" width="8.85546875" style="1" bestFit="1" customWidth="1"/>
    <col min="53" max="53" width="9.5703125" style="1" bestFit="1" customWidth="1"/>
    <col min="54" max="54" width="11.42578125" style="1"/>
    <col min="55" max="55" width="11.85546875" style="1" bestFit="1" customWidth="1"/>
    <col min="56" max="16384" width="11.42578125" style="1"/>
  </cols>
  <sheetData>
    <row r="4" spans="1:55" ht="23.25">
      <c r="A4" s="11" t="s">
        <v>0</v>
      </c>
      <c r="B4" s="12"/>
      <c r="C4" s="12"/>
      <c r="D4" s="12"/>
      <c r="G4" s="11" t="s">
        <v>0</v>
      </c>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row>
    <row r="6" spans="1:55" s="123" customFormat="1">
      <c r="A6" s="3" t="s">
        <v>224</v>
      </c>
      <c r="B6" s="134" t="s">
        <v>99</v>
      </c>
      <c r="C6" s="134" t="s">
        <v>237</v>
      </c>
      <c r="D6" s="134" t="s">
        <v>100</v>
      </c>
      <c r="F6" s="124">
        <v>1</v>
      </c>
      <c r="G6" s="3" t="s">
        <v>224</v>
      </c>
      <c r="H6" s="134" t="s">
        <v>101</v>
      </c>
      <c r="I6" s="134" t="s">
        <v>102</v>
      </c>
      <c r="J6" s="134" t="s">
        <v>103</v>
      </c>
      <c r="K6" s="134" t="s">
        <v>104</v>
      </c>
      <c r="L6" s="134" t="s">
        <v>105</v>
      </c>
      <c r="M6" s="134" t="s">
        <v>106</v>
      </c>
      <c r="N6" s="134" t="s">
        <v>107</v>
      </c>
      <c r="O6" s="134" t="s">
        <v>108</v>
      </c>
      <c r="P6" s="134" t="s">
        <v>109</v>
      </c>
      <c r="Q6" s="134" t="s">
        <v>110</v>
      </c>
      <c r="R6" s="134" t="s">
        <v>111</v>
      </c>
      <c r="S6" s="134" t="s">
        <v>112</v>
      </c>
      <c r="T6" s="134" t="s">
        <v>113</v>
      </c>
      <c r="U6" s="134" t="s">
        <v>114</v>
      </c>
      <c r="V6" s="134" t="s">
        <v>115</v>
      </c>
      <c r="W6" s="134" t="s">
        <v>116</v>
      </c>
      <c r="X6" s="134" t="s">
        <v>117</v>
      </c>
      <c r="Y6" s="134" t="s">
        <v>118</v>
      </c>
      <c r="Z6" s="134" t="s">
        <v>119</v>
      </c>
      <c r="AA6" s="134" t="s">
        <v>120</v>
      </c>
      <c r="AB6" s="134" t="s">
        <v>121</v>
      </c>
      <c r="AC6" s="134" t="s">
        <v>122</v>
      </c>
      <c r="AD6" s="134" t="s">
        <v>123</v>
      </c>
      <c r="AE6" s="134" t="s">
        <v>124</v>
      </c>
      <c r="AF6" s="134" t="s">
        <v>125</v>
      </c>
      <c r="AG6" s="134" t="s">
        <v>126</v>
      </c>
      <c r="AH6" s="134" t="s">
        <v>127</v>
      </c>
      <c r="AI6" s="134" t="s">
        <v>128</v>
      </c>
      <c r="AJ6" s="134" t="s">
        <v>129</v>
      </c>
      <c r="AK6" s="134" t="s">
        <v>130</v>
      </c>
      <c r="AL6" s="134" t="s">
        <v>131</v>
      </c>
      <c r="AM6" s="134" t="s">
        <v>132</v>
      </c>
      <c r="AN6" s="134" t="s">
        <v>133</v>
      </c>
      <c r="AO6" s="134" t="s">
        <v>134</v>
      </c>
      <c r="AP6" s="134" t="s">
        <v>135</v>
      </c>
      <c r="AQ6" s="134" t="s">
        <v>136</v>
      </c>
      <c r="AR6" s="134" t="s">
        <v>137</v>
      </c>
      <c r="AS6" s="134" t="s">
        <v>138</v>
      </c>
      <c r="AT6" s="134" t="s">
        <v>139</v>
      </c>
      <c r="AU6" s="134" t="s">
        <v>98</v>
      </c>
      <c r="AV6" s="134" t="s">
        <v>140</v>
      </c>
      <c r="AW6" s="134" t="s">
        <v>141</v>
      </c>
      <c r="AX6" s="134" t="s">
        <v>142</v>
      </c>
      <c r="AY6" s="134" t="s">
        <v>99</v>
      </c>
      <c r="AZ6" s="134" t="s">
        <v>236</v>
      </c>
      <c r="BA6" s="134" t="s">
        <v>237</v>
      </c>
    </row>
    <row r="7" spans="1:55" s="123" customFormat="1">
      <c r="A7" s="3" t="s">
        <v>166</v>
      </c>
      <c r="B7" s="134"/>
      <c r="C7" s="134"/>
      <c r="D7" s="134"/>
      <c r="F7" s="124">
        <f>F6+1</f>
        <v>2</v>
      </c>
      <c r="G7" s="3" t="s">
        <v>166</v>
      </c>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row>
    <row r="8" spans="1:55">
      <c r="F8" s="53">
        <f t="shared" ref="F8:F13" si="0">F7+1</f>
        <v>3</v>
      </c>
      <c r="AZ8" s="128"/>
      <c r="BA8" s="128"/>
    </row>
    <row r="9" spans="1:55">
      <c r="A9" s="5" t="s">
        <v>225</v>
      </c>
      <c r="B9" s="8">
        <f>HLOOKUP($B$6,$G$6:$BP$13,$F9,FALSE)</f>
        <v>1976.3468310199999</v>
      </c>
      <c r="C9" s="8">
        <f>HLOOKUP($C$6,$G$6:$BP$13,$F9,FALSE)</f>
        <v>1982.8269839500001</v>
      </c>
      <c r="D9" s="41">
        <f>C9/B9-1</f>
        <v>3.2788541101642643E-3</v>
      </c>
      <c r="F9" s="53">
        <f t="shared" si="0"/>
        <v>4</v>
      </c>
      <c r="G9" s="5" t="s">
        <v>226</v>
      </c>
      <c r="H9" s="8">
        <v>1621.21</v>
      </c>
      <c r="I9" s="8">
        <v>1618.2439999999999</v>
      </c>
      <c r="J9" s="8">
        <v>2045.0509999999999</v>
      </c>
      <c r="K9" s="8">
        <v>1893.8910000000001</v>
      </c>
      <c r="L9" s="8">
        <v>1887.99</v>
      </c>
      <c r="M9" s="8">
        <v>1877</v>
      </c>
      <c r="N9" s="8">
        <v>1870.7026136500001</v>
      </c>
      <c r="O9" s="8">
        <v>1857.9439466699998</v>
      </c>
      <c r="P9" s="8">
        <v>1865.7826170000001</v>
      </c>
      <c r="Q9" s="8">
        <v>1626.8895758000001</v>
      </c>
      <c r="R9" s="8">
        <v>1361.9305067499999</v>
      </c>
      <c r="S9" s="8">
        <v>1347.14813589</v>
      </c>
      <c r="T9" s="8">
        <v>1342.6678752600001</v>
      </c>
      <c r="U9" s="8">
        <v>1341.22899979</v>
      </c>
      <c r="V9" s="8">
        <v>1344.95474584</v>
      </c>
      <c r="W9" s="8">
        <v>1305.42787344</v>
      </c>
      <c r="X9" s="8">
        <v>1318.1200414800001</v>
      </c>
      <c r="Y9" s="8">
        <v>1280.81690873</v>
      </c>
      <c r="Z9" s="8">
        <v>1287.7160888599999</v>
      </c>
      <c r="AA9" s="8">
        <f>1603.2633381-AA23</f>
        <v>1254.1770553000001</v>
      </c>
      <c r="AB9" s="8">
        <f>1612.00621806-AB23</f>
        <v>1272.0972800500001</v>
      </c>
      <c r="AC9" s="8">
        <v>1255.6366147000001</v>
      </c>
      <c r="AD9" s="8">
        <f>1701.04231517-AD23</f>
        <v>1243.88248436</v>
      </c>
      <c r="AE9" s="8">
        <v>1219.4010661599998</v>
      </c>
      <c r="AF9" s="8">
        <f>1814.75025218-AF23</f>
        <v>1347.5749549699999</v>
      </c>
      <c r="AG9" s="8">
        <f>1806.42016527-AG23</f>
        <v>1334.0859096400002</v>
      </c>
      <c r="AH9" s="8">
        <f>1796.72138678-AH23</f>
        <v>1338.1752458300002</v>
      </c>
      <c r="AI9" s="8">
        <f>1796.2731062684-AI23</f>
        <v>1336.7224258783999</v>
      </c>
      <c r="AJ9" s="8">
        <f>1781.18954300951-AJ23</f>
        <v>1337.78954300951</v>
      </c>
      <c r="AK9" s="8">
        <f>1765.65650261125-AK23</f>
        <v>1320.7565026112502</v>
      </c>
      <c r="AL9" s="8">
        <f>1750.75484374691-AL23</f>
        <v>1322.4888233469101</v>
      </c>
      <c r="AM9" s="8">
        <f>2310.45229578-AM23</f>
        <v>1880.8751022199999</v>
      </c>
      <c r="AN9" s="8">
        <v>1717.8100000000002</v>
      </c>
      <c r="AO9" s="8">
        <v>1726.8473695093601</v>
      </c>
      <c r="AP9" s="8">
        <v>1717.45</v>
      </c>
      <c r="AQ9" s="8">
        <v>1742.59</v>
      </c>
      <c r="AR9" s="8">
        <f>2118.72699638299-AR23</f>
        <v>1742.03594457299</v>
      </c>
      <c r="AS9" s="8">
        <f>1725.24+22.19</f>
        <v>1747.43</v>
      </c>
      <c r="AT9" s="8">
        <v>1749.79</v>
      </c>
      <c r="AU9" s="8">
        <v>1763.6100000000001</v>
      </c>
      <c r="AV9" s="8">
        <v>1759.25</v>
      </c>
      <c r="AW9" s="8">
        <f>25.55+1740.41</f>
        <v>1765.96</v>
      </c>
      <c r="AX9" s="8">
        <v>1766.8812</v>
      </c>
      <c r="AY9" s="8">
        <v>1976.3468310199999</v>
      </c>
      <c r="AZ9" s="8">
        <v>1975.5858770499999</v>
      </c>
      <c r="BA9" s="8">
        <v>1982.8269839500001</v>
      </c>
      <c r="BB9" s="128"/>
      <c r="BC9" s="128"/>
    </row>
    <row r="10" spans="1:55">
      <c r="A10" s="5" t="s">
        <v>227</v>
      </c>
      <c r="B10" s="8">
        <f>HLOOKUP($B$6,$G$6:$BP$13,$F10,FALSE)</f>
        <v>724.98401152000008</v>
      </c>
      <c r="C10" s="8">
        <f>HLOOKUP($C$6,$G$6:$BP$13,$F10,FALSE)</f>
        <v>720.11926757000003</v>
      </c>
      <c r="D10" s="41">
        <f t="shared" ref="D10:D13" si="1">C10/B10-1</f>
        <v>-6.7101396343909325E-3</v>
      </c>
      <c r="F10" s="53">
        <f t="shared" si="0"/>
        <v>5</v>
      </c>
      <c r="G10" s="5" t="s">
        <v>227</v>
      </c>
      <c r="H10" s="8">
        <v>208.3</v>
      </c>
      <c r="I10" s="8">
        <v>337.4</v>
      </c>
      <c r="J10" s="8">
        <v>878.3</v>
      </c>
      <c r="K10" s="8">
        <v>832.76</v>
      </c>
      <c r="L10" s="8">
        <v>816.7</v>
      </c>
      <c r="M10" s="8">
        <v>912.5</v>
      </c>
      <c r="N10" s="8">
        <v>1090.5720669099999</v>
      </c>
      <c r="O10" s="8">
        <v>1058.0028371999999</v>
      </c>
      <c r="P10" s="8">
        <v>1041.9427924399999</v>
      </c>
      <c r="Q10" s="8">
        <v>821.89592786000003</v>
      </c>
      <c r="R10" s="8">
        <v>577.45237951000001</v>
      </c>
      <c r="S10" s="8">
        <v>644.96538209000005</v>
      </c>
      <c r="T10" s="8">
        <v>625.20350478</v>
      </c>
      <c r="U10" s="8">
        <v>642.64908048999996</v>
      </c>
      <c r="V10" s="8">
        <v>732.58318152000004</v>
      </c>
      <c r="W10" s="8">
        <v>757.34681765000005</v>
      </c>
      <c r="X10" s="8">
        <v>840.18244562999996</v>
      </c>
      <c r="Y10" s="8">
        <v>643.19314947999999</v>
      </c>
      <c r="Z10" s="8">
        <v>738.20035213999995</v>
      </c>
      <c r="AA10" s="8">
        <f>788.08749668-AA24</f>
        <v>764.38389112999994</v>
      </c>
      <c r="AB10" s="8">
        <f>815.72624595-AB24</f>
        <v>802.70145593000007</v>
      </c>
      <c r="AC10" s="8">
        <v>649.83319934000008</v>
      </c>
      <c r="AD10" s="8">
        <f>780.16379925-AD24</f>
        <v>766.81319765000001</v>
      </c>
      <c r="AE10" s="8">
        <v>773.54807795999977</v>
      </c>
      <c r="AF10" s="8">
        <f>979.68716846-AF24</f>
        <v>951.01231157999996</v>
      </c>
      <c r="AG10" s="8">
        <f>854.02097505-AG24</f>
        <v>813.01434632999997</v>
      </c>
      <c r="AH10" s="8">
        <f>965.89374418-AH24</f>
        <v>938.50500040999998</v>
      </c>
      <c r="AI10" s="8">
        <f>967.40052647-AI24</f>
        <v>938.55964359000006</v>
      </c>
      <c r="AJ10" s="8">
        <f>1027.83522607416-AJ24</f>
        <v>1005.9915344041599</v>
      </c>
      <c r="AK10" s="8">
        <f>789.998535169543-AK24</f>
        <v>756.893476639543</v>
      </c>
      <c r="AL10" s="8">
        <f>1886.10239526024-AL24</f>
        <v>1864.8212293125612</v>
      </c>
      <c r="AM10" s="8">
        <f>1419.22163411-AM24</f>
        <v>1391.35302142</v>
      </c>
      <c r="AN10" s="8">
        <v>1175.0899999999999</v>
      </c>
      <c r="AO10" s="8">
        <v>950.66543734941501</v>
      </c>
      <c r="AP10" s="8">
        <v>1150.7</v>
      </c>
      <c r="AQ10" s="8">
        <v>1104.6600000000001</v>
      </c>
      <c r="AR10" s="8">
        <f>1061.85538023994-AR24</f>
        <v>1022.5991758824366</v>
      </c>
      <c r="AS10" s="8">
        <v>919.78346999999997</v>
      </c>
      <c r="AT10" s="8">
        <v>1130.56808</v>
      </c>
      <c r="AU10" s="8">
        <v>985.22022000000004</v>
      </c>
      <c r="AV10" s="8">
        <v>951.24644999999998</v>
      </c>
      <c r="AW10" s="8">
        <v>855.75705000000005</v>
      </c>
      <c r="AX10" s="8">
        <v>898.74625000000003</v>
      </c>
      <c r="AY10" s="8">
        <v>724.98401152000008</v>
      </c>
      <c r="AZ10" s="8">
        <v>723.99053606661209</v>
      </c>
      <c r="BA10" s="8">
        <v>720.11926757000003</v>
      </c>
      <c r="BB10" s="129"/>
      <c r="BC10" s="128"/>
    </row>
    <row r="11" spans="1:55">
      <c r="A11" s="5" t="s">
        <v>228</v>
      </c>
      <c r="B11" s="8">
        <f>HLOOKUP($B$6,$G$6:$BP$13,$F11,FALSE)</f>
        <v>1251.3628194999997</v>
      </c>
      <c r="C11" s="8">
        <f>HLOOKUP($C$6,$G$6:$BP$13,$F11,FALSE)</f>
        <v>1262.70771638</v>
      </c>
      <c r="D11" s="41">
        <f t="shared" si="1"/>
        <v>9.0660332105227948E-3</v>
      </c>
      <c r="F11" s="53">
        <f t="shared" si="0"/>
        <v>6</v>
      </c>
      <c r="G11" s="5" t="s">
        <v>228</v>
      </c>
      <c r="H11" s="8">
        <f>H9-H10</f>
        <v>1412.91</v>
      </c>
      <c r="I11" s="8">
        <f t="shared" ref="I11:P11" si="2">I9-I10</f>
        <v>1280.8440000000001</v>
      </c>
      <c r="J11" s="8">
        <f t="shared" si="2"/>
        <v>1166.751</v>
      </c>
      <c r="K11" s="8">
        <f t="shared" si="2"/>
        <v>1061.1310000000001</v>
      </c>
      <c r="L11" s="8">
        <f t="shared" si="2"/>
        <v>1071.29</v>
      </c>
      <c r="M11" s="8">
        <f t="shared" si="2"/>
        <v>964.5</v>
      </c>
      <c r="N11" s="8">
        <f t="shared" si="2"/>
        <v>780.13054674000023</v>
      </c>
      <c r="O11" s="8">
        <f t="shared" si="2"/>
        <v>799.9411094699999</v>
      </c>
      <c r="P11" s="8">
        <f t="shared" si="2"/>
        <v>823.83982456000012</v>
      </c>
      <c r="Q11" s="8">
        <f t="shared" ref="Q11" si="3">Q9-Q10</f>
        <v>804.99364794000007</v>
      </c>
      <c r="R11" s="8">
        <f t="shared" ref="R11" si="4">R9-R10</f>
        <v>784.47812723999994</v>
      </c>
      <c r="S11" s="8">
        <f t="shared" ref="S11" si="5">S9-S10</f>
        <v>702.1827538</v>
      </c>
      <c r="T11" s="8">
        <f t="shared" ref="T11" si="6">T9-T10</f>
        <v>717.46437048000007</v>
      </c>
      <c r="U11" s="8">
        <f t="shared" ref="U11" si="7">U9-U10</f>
        <v>698.57991930000003</v>
      </c>
      <c r="V11" s="8">
        <f t="shared" ref="V11:X11" si="8">V9-V10</f>
        <v>612.37156431999995</v>
      </c>
      <c r="W11" s="8">
        <f t="shared" si="8"/>
        <v>548.08105578999994</v>
      </c>
      <c r="X11" s="8">
        <f t="shared" si="8"/>
        <v>477.93759585000009</v>
      </c>
      <c r="Y11" s="8">
        <f t="shared" ref="Y11:Z11" si="9">Y9-Y10</f>
        <v>637.62375925000003</v>
      </c>
      <c r="Z11" s="8">
        <f t="shared" si="9"/>
        <v>549.51573671999995</v>
      </c>
      <c r="AA11" s="8">
        <f>+AA9-AA10</f>
        <v>489.79316417000018</v>
      </c>
      <c r="AB11" s="8">
        <f>796.27997211-AB25</f>
        <v>469.3958241200001</v>
      </c>
      <c r="AC11" s="8">
        <v>605.80341536000014</v>
      </c>
      <c r="AD11" s="8">
        <f t="shared" ref="AD11:AH11" si="10">+AD9-AD10</f>
        <v>477.06928671000003</v>
      </c>
      <c r="AE11" s="8">
        <f t="shared" si="10"/>
        <v>445.85298820000003</v>
      </c>
      <c r="AF11" s="8">
        <f t="shared" si="10"/>
        <v>396.56264338999995</v>
      </c>
      <c r="AG11" s="8">
        <f t="shared" si="10"/>
        <v>521.07156331000022</v>
      </c>
      <c r="AH11" s="8">
        <f t="shared" si="10"/>
        <v>399.67024542000024</v>
      </c>
      <c r="AI11" s="8">
        <f>+AI9-AI10</f>
        <v>398.16278228839985</v>
      </c>
      <c r="AJ11" s="8">
        <f>+AJ9-AJ10</f>
        <v>331.79800860535011</v>
      </c>
      <c r="AK11" s="8">
        <f>975.657967441702-AK25</f>
        <v>563.86302597170197</v>
      </c>
      <c r="AL11" s="8">
        <f t="shared" ref="AL11:AQ11" si="11">+AL9-AL10</f>
        <v>-542.33240596565111</v>
      </c>
      <c r="AM11" s="8">
        <f t="shared" si="11"/>
        <v>489.52208079999991</v>
      </c>
      <c r="AN11" s="8">
        <f t="shared" si="11"/>
        <v>542.72000000000025</v>
      </c>
      <c r="AO11" s="8">
        <f t="shared" si="11"/>
        <v>776.18193215994506</v>
      </c>
      <c r="AP11" s="8">
        <f t="shared" si="11"/>
        <v>566.75</v>
      </c>
      <c r="AQ11" s="8">
        <f t="shared" si="11"/>
        <v>637.92999999999984</v>
      </c>
      <c r="AR11" s="8">
        <f>1056.87161614305-AR25</f>
        <v>719.43676869055332</v>
      </c>
      <c r="AS11" s="8">
        <f t="shared" ref="AS11:AX11" si="12">+AS9-AS10</f>
        <v>827.6465300000001</v>
      </c>
      <c r="AT11" s="8">
        <f t="shared" si="12"/>
        <v>619.22191999999995</v>
      </c>
      <c r="AU11" s="8">
        <f t="shared" si="12"/>
        <v>778.38978000000009</v>
      </c>
      <c r="AV11" s="8">
        <f t="shared" si="12"/>
        <v>808.00355000000002</v>
      </c>
      <c r="AW11" s="8">
        <f t="shared" si="12"/>
        <v>910.20294999999999</v>
      </c>
      <c r="AX11" s="8">
        <f t="shared" si="12"/>
        <v>868.13495</v>
      </c>
      <c r="AY11" s="8">
        <f>+AY9-AY10</f>
        <v>1251.3628194999997</v>
      </c>
      <c r="AZ11" s="8">
        <f t="shared" ref="AZ11:BA11" si="13">+AZ9-AZ10</f>
        <v>1251.5953409833878</v>
      </c>
      <c r="BA11" s="8">
        <f t="shared" si="13"/>
        <v>1262.70771638</v>
      </c>
      <c r="BB11" s="129"/>
    </row>
    <row r="12" spans="1:55">
      <c r="A12" s="5" t="s">
        <v>229</v>
      </c>
      <c r="B12" s="8">
        <f>HLOOKUP($B$6,$G$6:$BP$13,$F12,FALSE)</f>
        <v>557.67014142816834</v>
      </c>
      <c r="C12" s="8">
        <f>HLOOKUP($C$6,$G$6:$BP$13,$F12,FALSE)</f>
        <v>572.84435567036144</v>
      </c>
      <c r="D12" s="41">
        <f t="shared" si="1"/>
        <v>2.7210017382915064E-2</v>
      </c>
      <c r="F12" s="53">
        <f t="shared" si="0"/>
        <v>7</v>
      </c>
      <c r="G12" s="5" t="s">
        <v>229</v>
      </c>
      <c r="H12" s="8">
        <v>382.92145630999988</v>
      </c>
      <c r="I12" s="8">
        <v>393.30915419999997</v>
      </c>
      <c r="J12" s="8">
        <v>484.35407574999999</v>
      </c>
      <c r="K12" s="8">
        <f>SUM('Operating Income'!I33:L33)</f>
        <v>536.55660998999997</v>
      </c>
      <c r="L12" s="8">
        <f>SUM('Operating Income'!J33:M33)</f>
        <v>509.58181343000001</v>
      </c>
      <c r="M12" s="8">
        <f>SUM('Operating Income'!K33:N33)</f>
        <v>505.11810049000002</v>
      </c>
      <c r="N12" s="8">
        <f>SUM('Operating Income'!L33:O33)</f>
        <v>569.03689686999996</v>
      </c>
      <c r="O12" s="8">
        <f>SUM('Operating Income'!M33:P33)</f>
        <v>582.13436263000006</v>
      </c>
      <c r="P12" s="8">
        <f>SUM('Operating Income'!N33:Q33)</f>
        <v>642.86230607999994</v>
      </c>
      <c r="Q12" s="8">
        <f>SUM('Operating Income'!O33:R33)</f>
        <v>648.4863515699999</v>
      </c>
      <c r="R12" s="8">
        <f>SUM('Operating Income'!P33:S33)</f>
        <v>574.0483696199999</v>
      </c>
      <c r="S12" s="8">
        <f>SUM('Operating Income'!Q33:T33)</f>
        <v>545.71205114999987</v>
      </c>
      <c r="T12" s="8">
        <f>SUM('Operating Income'!R33:U33)</f>
        <v>535.59390827999982</v>
      </c>
      <c r="U12" s="8">
        <f>SUM('Operating Income'!S33:V33)</f>
        <v>541.16867648999994</v>
      </c>
      <c r="V12" s="8">
        <f>SUM('Operating Income'!T33:W33)</f>
        <v>595.27126139999996</v>
      </c>
      <c r="W12" s="8">
        <f>SUM('Operating Income'!U33:X33)</f>
        <v>638.54421912999999</v>
      </c>
      <c r="X12" s="8">
        <f>SUM('Operating Income'!V33:Y33)</f>
        <v>648.81246179000004</v>
      </c>
      <c r="Y12" s="8">
        <f>SUM('Operating Income'!W33:Z33)</f>
        <v>642.92675406000012</v>
      </c>
      <c r="Z12" s="8">
        <f>SUM('Operating Income'!X33:AA33)</f>
        <v>631.35391621000019</v>
      </c>
      <c r="AA12" s="8">
        <f>SUM('Operating Income'!Y33:AB33)</f>
        <v>647.7782706600002</v>
      </c>
      <c r="AB12" s="8">
        <f>SUM('Operating Income'!Z33:AC33)</f>
        <v>643.02155693000009</v>
      </c>
      <c r="AC12" s="8">
        <f>SUM('Operating Income'!AA33:AD33)</f>
        <v>656.63837824000018</v>
      </c>
      <c r="AD12" s="8">
        <f>SUM('Operating Income'!AB33:AE33)</f>
        <v>670.39056757000014</v>
      </c>
      <c r="AE12" s="8">
        <f>SUM('Operating Income'!AC33:AF33)</f>
        <v>630.87492585131372</v>
      </c>
      <c r="AF12" s="8">
        <f>SUM('Operating Income'!AD33:AG33)</f>
        <v>634.74103105131371</v>
      </c>
      <c r="AG12" s="8">
        <f>SUM('Operating Income'!AE33:AH33)</f>
        <v>621.18250273131366</v>
      </c>
      <c r="AH12" s="8">
        <f>SUM('Operating Income'!AF33:AI33)</f>
        <v>617.77807009131357</v>
      </c>
      <c r="AI12" s="8">
        <f>682.539488147868-AI26</f>
        <v>617.42694116786799</v>
      </c>
      <c r="AJ12" s="8">
        <f>+SUM('Operating Income'!AH33:AK33)</f>
        <v>585.1565443502941</v>
      </c>
      <c r="AK12" s="8">
        <f>639.022682110036-AK26</f>
        <v>575.70420253003601</v>
      </c>
      <c r="AL12" s="8">
        <f>535.871740508092-AL26</f>
        <v>468.346890108092</v>
      </c>
      <c r="AM12" s="8">
        <f>520.197108828493-AM26</f>
        <v>450.66937666849299</v>
      </c>
      <c r="AN12" s="8">
        <f>+SUM('Operating Income'!AL33:AO33)</f>
        <v>433.74481597914689</v>
      </c>
      <c r="AO12" s="8">
        <v>449.76646769813902</v>
      </c>
      <c r="AP12" s="8">
        <v>578.13762387883901</v>
      </c>
      <c r="AQ12" s="8">
        <v>657.96531996665976</v>
      </c>
      <c r="AR12" s="8">
        <f>809.93848731713-AR26</f>
        <v>704.69264881712991</v>
      </c>
      <c r="AS12" s="8">
        <f>+SUM('Operating Income'!AQ33:AT33)</f>
        <v>707.62625880865005</v>
      </c>
      <c r="AT12" s="8">
        <f>+SUM('Operating Income'!AR33:AU33)</f>
        <v>704.4476222483861</v>
      </c>
      <c r="AU12" s="8">
        <f>SUM('Operating Income'!AS33:AV33)</f>
        <v>615.41707909742831</v>
      </c>
      <c r="AV12" s="8">
        <f>SUM('Operating Income'!AT33:AW33)</f>
        <v>578.00698383228791</v>
      </c>
      <c r="AW12" s="8">
        <f>SUM('Operating Income'!AU33:AX33)</f>
        <v>575.15176111687185</v>
      </c>
      <c r="AX12" s="8">
        <f>SUM('Operating Income'!AV33:AY33)</f>
        <v>544.90787022273526</v>
      </c>
      <c r="AY12" s="8">
        <f>SUM('Operating Income'!AW33:AZ33)</f>
        <v>557.67014142816834</v>
      </c>
      <c r="AZ12" s="8">
        <f>SUM('Operating Income'!AX33:BA33)</f>
        <v>584.43072429758956</v>
      </c>
      <c r="BA12" s="8">
        <f>SUM('Operating Income'!AY33:BB33)</f>
        <v>572.84435567036144</v>
      </c>
    </row>
    <row r="13" spans="1:55">
      <c r="A13" s="5" t="s">
        <v>230</v>
      </c>
      <c r="B13" s="8">
        <f>HLOOKUP($B$6,$G$6:$BP$13,$F13,FALSE)</f>
        <v>2.2439121741309571</v>
      </c>
      <c r="C13" s="8">
        <f>HLOOKUP($C$6,$G$6:$BP$13,$F13,FALSE)</f>
        <v>2.2042771372030674</v>
      </c>
      <c r="D13" s="41">
        <f t="shared" si="1"/>
        <v>-1.7663363738039339E-2</v>
      </c>
      <c r="F13" s="53">
        <f t="shared" si="0"/>
        <v>8</v>
      </c>
      <c r="G13" s="5" t="s">
        <v>230</v>
      </c>
      <c r="H13" s="8">
        <f>H11/H12</f>
        <v>3.6898167410503038</v>
      </c>
      <c r="I13" s="8">
        <f t="shared" ref="I13:V13" si="14">I11/I12</f>
        <v>3.2565832407467523</v>
      </c>
      <c r="J13" s="8">
        <f t="shared" si="14"/>
        <v>2.408880317964373</v>
      </c>
      <c r="K13" s="8">
        <f t="shared" si="14"/>
        <v>1.9776683023619388</v>
      </c>
      <c r="L13" s="8">
        <f t="shared" si="14"/>
        <v>2.1022924519011714</v>
      </c>
      <c r="M13" s="8">
        <f t="shared" si="14"/>
        <v>1.9094544405840284</v>
      </c>
      <c r="N13" s="8">
        <f t="shared" si="14"/>
        <v>1.3709665419432826</v>
      </c>
      <c r="O13" s="8">
        <f t="shared" si="14"/>
        <v>1.37415201854084</v>
      </c>
      <c r="P13" s="8">
        <f t="shared" si="14"/>
        <v>1.2815183232371361</v>
      </c>
      <c r="Q13" s="8">
        <f t="shared" si="14"/>
        <v>1.2413424677190084</v>
      </c>
      <c r="R13" s="8">
        <f t="shared" si="14"/>
        <v>1.3665714750819644</v>
      </c>
      <c r="S13" s="8">
        <f t="shared" si="14"/>
        <v>1.2867275925467716</v>
      </c>
      <c r="T13" s="8">
        <f t="shared" si="14"/>
        <v>1.339567831874819</v>
      </c>
      <c r="U13" s="8">
        <f t="shared" si="14"/>
        <v>1.2908727900346406</v>
      </c>
      <c r="V13" s="8">
        <f t="shared" si="14"/>
        <v>1.0287269082666317</v>
      </c>
      <c r="W13" s="8">
        <f t="shared" ref="W13:X13" si="15">W11/W12</f>
        <v>0.85832905438678342</v>
      </c>
      <c r="X13" s="8">
        <f t="shared" si="15"/>
        <v>0.73663442673623203</v>
      </c>
      <c r="Y13" s="8">
        <f t="shared" ref="Y13:Z13" si="16">Y11/Y12</f>
        <v>0.99175179011215142</v>
      </c>
      <c r="Z13" s="8">
        <f t="shared" si="16"/>
        <v>0.87037669777789206</v>
      </c>
      <c r="AA13" s="8">
        <f t="shared" ref="AA13:AF13" si="17">+AA11/AA12</f>
        <v>0.75611237109106155</v>
      </c>
      <c r="AB13" s="8">
        <f t="shared" si="17"/>
        <v>0.72998458459317084</v>
      </c>
      <c r="AC13" s="8">
        <f t="shared" si="17"/>
        <v>0.92258301591165914</v>
      </c>
      <c r="AD13" s="8">
        <f t="shared" si="17"/>
        <v>0.71162887693849586</v>
      </c>
      <c r="AE13" s="8">
        <f t="shared" si="17"/>
        <v>0.70672168116106082</v>
      </c>
      <c r="AF13" s="8">
        <f t="shared" si="17"/>
        <v>0.62476289382644468</v>
      </c>
      <c r="AG13" s="8">
        <v>0.62856171092891566</v>
      </c>
      <c r="AH13" s="8">
        <f t="shared" ref="AH13" si="18">+AH11/AH12</f>
        <v>0.6469479328732487</v>
      </c>
      <c r="AI13" s="8">
        <f>+AI11/AI12</f>
        <v>0.64487432559271185</v>
      </c>
      <c r="AJ13" s="8">
        <f>+AJ11/AJ12</f>
        <v>0.56702434896929876</v>
      </c>
      <c r="AK13" s="8">
        <f>+AK11/AK12</f>
        <v>0.97943183929126132</v>
      </c>
      <c r="AL13" s="8" t="s">
        <v>148</v>
      </c>
      <c r="AM13" s="8">
        <f>+AM11/AM12</f>
        <v>1.0862111031788311</v>
      </c>
      <c r="AN13" s="8">
        <f>+AN11/AN12</f>
        <v>1.2512426200987554</v>
      </c>
      <c r="AO13" s="8">
        <f>+AO11/AO12</f>
        <v>1.7257443315691554</v>
      </c>
      <c r="AP13" s="8">
        <f>+AP11/AP12</f>
        <v>0.98030291852926432</v>
      </c>
      <c r="AQ13" s="8">
        <f>+AQ11/AQ12</f>
        <v>0.96954958056501339</v>
      </c>
      <c r="AR13" s="8">
        <v>1.3048788675839702</v>
      </c>
      <c r="AS13" s="8">
        <f t="shared" ref="AS13:AY13" si="19">+AS11/AS12</f>
        <v>1.1696096911290637</v>
      </c>
      <c r="AT13" s="8">
        <f t="shared" si="19"/>
        <v>0.8790176876793605</v>
      </c>
      <c r="AU13" s="8">
        <f t="shared" si="19"/>
        <v>1.2648166689517095</v>
      </c>
      <c r="AV13" s="8">
        <f t="shared" si="19"/>
        <v>1.3979131266594642</v>
      </c>
      <c r="AW13" s="8">
        <f t="shared" si="19"/>
        <v>1.5825439675825754</v>
      </c>
      <c r="AX13" s="8">
        <f t="shared" si="19"/>
        <v>1.5931774845629285</v>
      </c>
      <c r="AY13" s="8">
        <f t="shared" si="19"/>
        <v>2.2439121741309571</v>
      </c>
      <c r="AZ13" s="8">
        <f t="shared" ref="AZ13:BA13" si="20">+AZ11/AZ12</f>
        <v>2.1415632151914057</v>
      </c>
      <c r="BA13" s="8">
        <f t="shared" si="20"/>
        <v>2.2042771372030674</v>
      </c>
    </row>
    <row r="14" spans="1:55">
      <c r="B14" s="48"/>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5">
      <c r="B15" s="48"/>
      <c r="C15" s="48"/>
    </row>
    <row r="16" spans="1:55">
      <c r="D16" s="48"/>
    </row>
    <row r="18" spans="1:53" ht="23.25">
      <c r="A18" s="11" t="s">
        <v>29</v>
      </c>
      <c r="B18" s="12"/>
      <c r="C18" s="12"/>
      <c r="D18" s="12"/>
      <c r="G18" s="11" t="s">
        <v>29</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row>
    <row r="20" spans="1:53" s="123" customFormat="1">
      <c r="A20" s="3" t="s">
        <v>224</v>
      </c>
      <c r="B20" s="134" t="str">
        <f>B6</f>
        <v>4Q24</v>
      </c>
      <c r="C20" s="134" t="str">
        <f>C6</f>
        <v>2Q25</v>
      </c>
      <c r="D20" s="134" t="s">
        <v>100</v>
      </c>
      <c r="F20" s="124">
        <v>1</v>
      </c>
      <c r="G20" s="3" t="s">
        <v>224</v>
      </c>
      <c r="H20" s="134" t="s">
        <v>101</v>
      </c>
      <c r="I20" s="134" t="s">
        <v>102</v>
      </c>
      <c r="J20" s="134" t="s">
        <v>103</v>
      </c>
      <c r="K20" s="134" t="s">
        <v>104</v>
      </c>
      <c r="L20" s="134" t="s">
        <v>105</v>
      </c>
      <c r="M20" s="134" t="s">
        <v>106</v>
      </c>
      <c r="N20" s="134" t="s">
        <v>107</v>
      </c>
      <c r="O20" s="134" t="s">
        <v>108</v>
      </c>
      <c r="P20" s="134" t="s">
        <v>109</v>
      </c>
      <c r="Q20" s="134" t="s">
        <v>110</v>
      </c>
      <c r="R20" s="134" t="s">
        <v>111</v>
      </c>
      <c r="S20" s="134" t="s">
        <v>112</v>
      </c>
      <c r="T20" s="134" t="s">
        <v>113</v>
      </c>
      <c r="U20" s="134" t="s">
        <v>114</v>
      </c>
      <c r="V20" s="134" t="s">
        <v>115</v>
      </c>
      <c r="W20" s="134" t="s">
        <v>116</v>
      </c>
      <c r="X20" s="134" t="s">
        <v>117</v>
      </c>
      <c r="Y20" s="134" t="s">
        <v>118</v>
      </c>
      <c r="Z20" s="134" t="s">
        <v>119</v>
      </c>
      <c r="AA20" s="134" t="s">
        <v>120</v>
      </c>
      <c r="AB20" s="134" t="s">
        <v>121</v>
      </c>
      <c r="AC20" s="134" t="s">
        <v>122</v>
      </c>
      <c r="AD20" s="134" t="s">
        <v>123</v>
      </c>
      <c r="AE20" s="134" t="s">
        <v>124</v>
      </c>
      <c r="AF20" s="134" t="s">
        <v>125</v>
      </c>
      <c r="AG20" s="134" t="s">
        <v>126</v>
      </c>
      <c r="AH20" s="134" t="s">
        <v>127</v>
      </c>
      <c r="AI20" s="134" t="s">
        <v>128</v>
      </c>
      <c r="AJ20" s="134" t="s">
        <v>129</v>
      </c>
      <c r="AK20" s="134" t="s">
        <v>130</v>
      </c>
      <c r="AL20" s="134" t="s">
        <v>131</v>
      </c>
      <c r="AM20" s="134" t="s">
        <v>132</v>
      </c>
      <c r="AN20" s="134" t="s">
        <v>133</v>
      </c>
      <c r="AO20" s="134" t="s">
        <v>134</v>
      </c>
      <c r="AP20" s="134" t="s">
        <v>135</v>
      </c>
      <c r="AQ20" s="134" t="s">
        <v>136</v>
      </c>
      <c r="AR20" s="134" t="s">
        <v>137</v>
      </c>
      <c r="AS20" s="134" t="s">
        <v>138</v>
      </c>
      <c r="AT20" s="134" t="s">
        <v>139</v>
      </c>
      <c r="AU20" s="134" t="s">
        <v>98</v>
      </c>
      <c r="AV20" s="134" t="s">
        <v>140</v>
      </c>
      <c r="AW20" s="134" t="s">
        <v>141</v>
      </c>
      <c r="AX20" s="134" t="s">
        <v>142</v>
      </c>
      <c r="AY20" s="134" t="s">
        <v>99</v>
      </c>
      <c r="AZ20" s="134" t="s">
        <v>236</v>
      </c>
      <c r="BA20" s="134" t="s">
        <v>237</v>
      </c>
    </row>
    <row r="21" spans="1:53" s="123" customFormat="1">
      <c r="A21" s="3" t="s">
        <v>166</v>
      </c>
      <c r="B21" s="134"/>
      <c r="C21" s="134"/>
      <c r="D21" s="134"/>
      <c r="F21" s="124">
        <f>F20+1</f>
        <v>2</v>
      </c>
      <c r="G21" s="3" t="s">
        <v>166</v>
      </c>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row>
    <row r="22" spans="1:53">
      <c r="F22" s="53">
        <f t="shared" ref="F22:F27" si="21">F21+1</f>
        <v>3</v>
      </c>
    </row>
    <row r="23" spans="1:53">
      <c r="A23" s="5" t="s">
        <v>225</v>
      </c>
      <c r="B23" s="8">
        <f>HLOOKUP($B$20,$G$20:$BQ$27,$F23,FALSE)</f>
        <v>321.78689484</v>
      </c>
      <c r="C23" s="8">
        <f>HLOOKUP($C$20,$G$20:$BQ$27,$F23,FALSE)</f>
        <v>308.98601166999998</v>
      </c>
      <c r="D23" s="41">
        <f>C23/B23-1</f>
        <v>-3.9780623062244058E-2</v>
      </c>
      <c r="F23" s="53">
        <f t="shared" si="21"/>
        <v>4</v>
      </c>
      <c r="G23" s="5" t="s">
        <v>226</v>
      </c>
      <c r="H23" s="30"/>
      <c r="I23" s="30"/>
      <c r="J23" s="30"/>
      <c r="K23" s="30"/>
      <c r="L23" s="30"/>
      <c r="M23" s="30"/>
      <c r="N23" s="30"/>
      <c r="O23" s="30"/>
      <c r="P23" s="8">
        <v>378.24112093999997</v>
      </c>
      <c r="Q23" s="8">
        <v>383.03361709000001</v>
      </c>
      <c r="R23" s="8">
        <v>378.53295608000002</v>
      </c>
      <c r="S23" s="8">
        <v>362.88383331</v>
      </c>
      <c r="T23" s="8">
        <v>360.77624745000003</v>
      </c>
      <c r="U23" s="8">
        <v>361.36130248000001</v>
      </c>
      <c r="V23" s="8">
        <v>350.57789079999998</v>
      </c>
      <c r="W23" s="8">
        <v>354.02454993999999</v>
      </c>
      <c r="X23" s="8">
        <v>350.32716904</v>
      </c>
      <c r="Y23" s="8">
        <v>354.05027138999998</v>
      </c>
      <c r="Z23" s="8">
        <v>345.42533279000003</v>
      </c>
      <c r="AA23" s="8">
        <v>349.08628279999994</v>
      </c>
      <c r="AB23" s="8">
        <v>339.90893800999993</v>
      </c>
      <c r="AC23" s="8">
        <v>468.84071018999998</v>
      </c>
      <c r="AD23" s="8">
        <v>457.15983081000002</v>
      </c>
      <c r="AE23" s="8">
        <v>459.26191867999995</v>
      </c>
      <c r="AF23" s="8">
        <v>467.17529721000005</v>
      </c>
      <c r="AG23" s="8">
        <v>472.33425562999997</v>
      </c>
      <c r="AH23" s="8">
        <v>458.54614094999999</v>
      </c>
      <c r="AI23" s="8">
        <v>459.55068038999997</v>
      </c>
      <c r="AJ23" s="8">
        <v>443.4</v>
      </c>
      <c r="AK23" s="8">
        <v>444.9</v>
      </c>
      <c r="AL23" s="8">
        <v>428.2660204</v>
      </c>
      <c r="AM23" s="8">
        <v>429.57719356000001</v>
      </c>
      <c r="AN23" s="8">
        <v>411.36103896999998</v>
      </c>
      <c r="AO23" s="8">
        <v>412.45605507000005</v>
      </c>
      <c r="AP23" s="8">
        <v>394.44460880000003</v>
      </c>
      <c r="AQ23" s="8">
        <v>395.33205693999997</v>
      </c>
      <c r="AR23" s="8">
        <v>376.69105180999998</v>
      </c>
      <c r="AS23" s="8">
        <f>314.54490246+62.85</f>
        <v>377.39490246000003</v>
      </c>
      <c r="AT23" s="8">
        <v>359.22353769000006</v>
      </c>
      <c r="AU23" s="8">
        <v>359.66220430999999</v>
      </c>
      <c r="AV23" s="8">
        <v>342.54136075999998</v>
      </c>
      <c r="AW23" s="8">
        <f>57.23+285.83</f>
        <v>343.06</v>
      </c>
      <c r="AX23" s="8">
        <v>326.53203902000001</v>
      </c>
      <c r="AY23" s="8">
        <v>321.78689484</v>
      </c>
      <c r="AZ23" s="8">
        <v>308.96855631999995</v>
      </c>
      <c r="BA23" s="8">
        <v>308.98601166999998</v>
      </c>
    </row>
    <row r="24" spans="1:53">
      <c r="A24" s="5" t="s">
        <v>227</v>
      </c>
      <c r="B24" s="8">
        <f>HLOOKUP($B$20,$G$20:$BQ$27,$F24,FALSE)</f>
        <v>50.14626041999999</v>
      </c>
      <c r="C24" s="8">
        <f>HLOOKUP($C$20,$G$20:$BQ$27,$F24,FALSE)</f>
        <v>67.501475549999995</v>
      </c>
      <c r="D24" s="41">
        <f t="shared" ref="D24:D27" si="22">C24/B24-1</f>
        <v>0.34609191163291952</v>
      </c>
      <c r="F24" s="53">
        <f t="shared" si="21"/>
        <v>5</v>
      </c>
      <c r="G24" s="5" t="s">
        <v>227</v>
      </c>
      <c r="H24" s="30"/>
      <c r="I24" s="30"/>
      <c r="J24" s="30"/>
      <c r="K24" s="30"/>
      <c r="L24" s="30"/>
      <c r="M24" s="30"/>
      <c r="N24" s="30"/>
      <c r="O24" s="30"/>
      <c r="P24" s="8">
        <v>20.63219316</v>
      </c>
      <c r="Q24" s="8">
        <v>26.780675710000001</v>
      </c>
      <c r="R24" s="8">
        <v>42.75403962</v>
      </c>
      <c r="S24" s="8">
        <v>22.031641610000001</v>
      </c>
      <c r="T24" s="8">
        <v>38.979379139999999</v>
      </c>
      <c r="U24" s="8">
        <v>37.818563949999998</v>
      </c>
      <c r="V24" s="8">
        <v>43.233564700000002</v>
      </c>
      <c r="W24" s="8">
        <v>52.868302270000001</v>
      </c>
      <c r="X24" s="8">
        <v>40.557920690000003</v>
      </c>
      <c r="Y24" s="8">
        <v>52.415248669999997</v>
      </c>
      <c r="Z24" s="8">
        <v>46.437148880000002</v>
      </c>
      <c r="AA24" s="8">
        <v>23.703605549999995</v>
      </c>
      <c r="AB24" s="8">
        <v>13.024790019999999</v>
      </c>
      <c r="AC24" s="8">
        <v>17.493595700000004</v>
      </c>
      <c r="AD24" s="8">
        <v>13.350601600000001</v>
      </c>
      <c r="AE24" s="8">
        <v>23.76704196</v>
      </c>
      <c r="AF24" s="8">
        <v>28.67485688</v>
      </c>
      <c r="AG24" s="8">
        <v>41.006628720000002</v>
      </c>
      <c r="AH24" s="8">
        <v>27.388743770000005</v>
      </c>
      <c r="AI24" s="8">
        <v>28.840882880000002</v>
      </c>
      <c r="AJ24" s="8">
        <v>21.843691669999998</v>
      </c>
      <c r="AK24" s="8">
        <v>33.105058530000001</v>
      </c>
      <c r="AL24" s="8">
        <v>21.281165947678915</v>
      </c>
      <c r="AM24" s="8">
        <v>27.868612689999999</v>
      </c>
      <c r="AN24" s="8">
        <v>21.9</v>
      </c>
      <c r="AO24" s="8">
        <v>39.155071289971971</v>
      </c>
      <c r="AP24" s="8">
        <v>25.200533866652698</v>
      </c>
      <c r="AQ24" s="8">
        <v>49.780322774867329</v>
      </c>
      <c r="AR24" s="8">
        <v>39.256204357503321</v>
      </c>
      <c r="AS24" s="8">
        <v>29.94541975204514</v>
      </c>
      <c r="AT24" s="8">
        <v>40.156621789999996</v>
      </c>
      <c r="AU24" s="8">
        <v>45.912658889999996</v>
      </c>
      <c r="AV24" s="8">
        <v>38.901968370000006</v>
      </c>
      <c r="AW24" s="8">
        <v>50.470176230000007</v>
      </c>
      <c r="AX24" s="8">
        <v>48.333385290000002</v>
      </c>
      <c r="AY24" s="8">
        <v>50.14626041999999</v>
      </c>
      <c r="AZ24" s="8">
        <v>44.422287519999998</v>
      </c>
      <c r="BA24" s="8">
        <v>67.501475549999995</v>
      </c>
    </row>
    <row r="25" spans="1:53">
      <c r="A25" s="5" t="s">
        <v>228</v>
      </c>
      <c r="B25" s="8">
        <f>HLOOKUP($B$20,$G$20:$BQ$27,$F25,FALSE)</f>
        <v>271.64063442000003</v>
      </c>
      <c r="C25" s="8">
        <f>HLOOKUP($C$20,$G$20:$BQ$27,$F25,FALSE)</f>
        <v>241.48453611999997</v>
      </c>
      <c r="D25" s="41">
        <f t="shared" si="22"/>
        <v>-0.11101468071736975</v>
      </c>
      <c r="F25" s="53">
        <f t="shared" si="21"/>
        <v>6</v>
      </c>
      <c r="G25" s="5" t="s">
        <v>228</v>
      </c>
      <c r="H25" s="30"/>
      <c r="I25" s="30"/>
      <c r="J25" s="30"/>
      <c r="K25" s="30"/>
      <c r="L25" s="30"/>
      <c r="M25" s="30"/>
      <c r="N25" s="30"/>
      <c r="O25" s="30"/>
      <c r="P25" s="8">
        <f>P23-P24</f>
        <v>357.60892777999999</v>
      </c>
      <c r="Q25" s="8">
        <f t="shared" ref="Q25:V25" si="23">Q23-Q24</f>
        <v>356.25294137999998</v>
      </c>
      <c r="R25" s="8">
        <f t="shared" si="23"/>
        <v>335.77891646</v>
      </c>
      <c r="S25" s="8">
        <f t="shared" si="23"/>
        <v>340.85219169999999</v>
      </c>
      <c r="T25" s="8">
        <f t="shared" si="23"/>
        <v>321.79686831000004</v>
      </c>
      <c r="U25" s="8">
        <f>U23-U24</f>
        <v>323.54273853000001</v>
      </c>
      <c r="V25" s="8">
        <f t="shared" si="23"/>
        <v>307.34432609999999</v>
      </c>
      <c r="W25" s="8">
        <f t="shared" ref="W25:X25" si="24">W23-W24</f>
        <v>301.15624766999997</v>
      </c>
      <c r="X25" s="8">
        <f t="shared" si="24"/>
        <v>309.76924835</v>
      </c>
      <c r="Y25" s="8">
        <f t="shared" ref="Y25:Z25" si="25">Y23-Y24</f>
        <v>301.63502271999999</v>
      </c>
      <c r="Z25" s="8">
        <f t="shared" si="25"/>
        <v>298.98818391000003</v>
      </c>
      <c r="AA25" s="8">
        <v>325.38267724999997</v>
      </c>
      <c r="AB25" s="8">
        <f t="shared" ref="AB25:AG25" si="26">+AB23-AB24</f>
        <v>326.88414798999992</v>
      </c>
      <c r="AC25" s="8">
        <f t="shared" si="26"/>
        <v>451.34711448999997</v>
      </c>
      <c r="AD25" s="8">
        <f t="shared" si="26"/>
        <v>443.80922921000001</v>
      </c>
      <c r="AE25" s="8">
        <f t="shared" si="26"/>
        <v>435.49487671999998</v>
      </c>
      <c r="AF25" s="8">
        <f t="shared" si="26"/>
        <v>438.50044033000006</v>
      </c>
      <c r="AG25" s="8">
        <f t="shared" si="26"/>
        <v>431.32762690999999</v>
      </c>
      <c r="AH25" s="8">
        <v>431.15739717999998</v>
      </c>
      <c r="AI25" s="8">
        <f t="shared" ref="AI25:AX25" si="27">+AI23-AI24</f>
        <v>430.70979750999999</v>
      </c>
      <c r="AJ25" s="8">
        <f t="shared" si="27"/>
        <v>421.55630832999998</v>
      </c>
      <c r="AK25" s="8">
        <f t="shared" si="27"/>
        <v>411.79494146999997</v>
      </c>
      <c r="AL25" s="8">
        <f t="shared" si="27"/>
        <v>406.98485445232109</v>
      </c>
      <c r="AM25" s="8">
        <f t="shared" si="27"/>
        <v>401.70858086999999</v>
      </c>
      <c r="AN25" s="8">
        <f t="shared" si="27"/>
        <v>389.46103897</v>
      </c>
      <c r="AO25" s="8">
        <f t="shared" si="27"/>
        <v>373.3009837800281</v>
      </c>
      <c r="AP25" s="8">
        <f t="shared" si="27"/>
        <v>369.24407493334735</v>
      </c>
      <c r="AQ25" s="8">
        <f t="shared" si="27"/>
        <v>345.55173416513264</v>
      </c>
      <c r="AR25" s="8">
        <f t="shared" si="27"/>
        <v>337.43484745249668</v>
      </c>
      <c r="AS25" s="8">
        <f t="shared" si="27"/>
        <v>347.44948270795487</v>
      </c>
      <c r="AT25" s="8">
        <f t="shared" si="27"/>
        <v>319.06691590000008</v>
      </c>
      <c r="AU25" s="8">
        <f t="shared" si="27"/>
        <v>313.74954542</v>
      </c>
      <c r="AV25" s="8">
        <f t="shared" si="27"/>
        <v>303.63939238999995</v>
      </c>
      <c r="AW25" s="8">
        <f t="shared" si="27"/>
        <v>292.58982377000001</v>
      </c>
      <c r="AX25" s="8">
        <f t="shared" si="27"/>
        <v>278.19865372999999</v>
      </c>
      <c r="AY25" s="8">
        <f>+AY23-AY24</f>
        <v>271.64063442000003</v>
      </c>
      <c r="AZ25" s="8">
        <f t="shared" ref="AZ25:BA25" si="28">+AZ23-AZ24</f>
        <v>264.54626879999995</v>
      </c>
      <c r="BA25" s="8">
        <f t="shared" si="28"/>
        <v>241.48453611999997</v>
      </c>
    </row>
    <row r="26" spans="1:53">
      <c r="A26" s="5" t="s">
        <v>229</v>
      </c>
      <c r="B26" s="8">
        <f>HLOOKUP($B$20,$G$20:$BQ$27,$F26,FALSE)</f>
        <v>84.151591249999996</v>
      </c>
      <c r="C26" s="8">
        <f>HLOOKUP($C$20,$G$20:$BQ$27,$F26,FALSE)</f>
        <v>88.27903834</v>
      </c>
      <c r="D26" s="41">
        <f t="shared" si="22"/>
        <v>4.9047760460501078E-2</v>
      </c>
      <c r="F26" s="53">
        <f t="shared" si="21"/>
        <v>7</v>
      </c>
      <c r="G26" s="5" t="s">
        <v>229</v>
      </c>
      <c r="H26" s="30"/>
      <c r="I26" s="30"/>
      <c r="J26" s="30"/>
      <c r="K26" s="30"/>
      <c r="L26" s="30"/>
      <c r="M26" s="30"/>
      <c r="N26" s="30"/>
      <c r="O26" s="30"/>
      <c r="P26" s="8">
        <v>52.496359250000012</v>
      </c>
      <c r="Q26" s="8">
        <v>43.236194240000017</v>
      </c>
      <c r="R26" s="8">
        <v>46.363594150000011</v>
      </c>
      <c r="S26" s="8">
        <f>SUM('Operating Income'!Q67:T67)</f>
        <v>56.038916260000008</v>
      </c>
      <c r="T26" s="8">
        <f>SUM('Operating Income'!R67:U67)</f>
        <v>50.73002218000002</v>
      </c>
      <c r="U26" s="8">
        <f>SUM('Operating Income'!S67:V67)</f>
        <v>52.520309130000015</v>
      </c>
      <c r="V26" s="8">
        <f>SUM('Operating Income'!T67:W67)</f>
        <v>49.897649080000001</v>
      </c>
      <c r="W26" s="8">
        <f>SUM('Operating Income'!U67:X67)</f>
        <v>53.585730650000002</v>
      </c>
      <c r="X26" s="8">
        <f>SUM('Operating Income'!V67:Y67)</f>
        <v>52.09403240999999</v>
      </c>
      <c r="Y26" s="8">
        <f>SUM('Operating Income'!W67:Z67)</f>
        <v>53.503672749999993</v>
      </c>
      <c r="Z26" s="8">
        <f>SUM('Operating Income'!X67:AA67)</f>
        <v>47.392068980000005</v>
      </c>
      <c r="AA26" s="8">
        <v>35.739567069999993</v>
      </c>
      <c r="AB26" s="8">
        <f>+SUM('Operating Income'!Z67:AC67)</f>
        <v>42.880847799999998</v>
      </c>
      <c r="AC26" s="8">
        <f>+SUM('Operating Income'!AA67:AD67)</f>
        <v>49.031741759999996</v>
      </c>
      <c r="AD26" s="8">
        <f>+SUM('Operating Income'!AB67:AE67)</f>
        <v>57.662942970000003</v>
      </c>
      <c r="AE26" s="8">
        <f>SUM('Operating Income'!AC67:AF67)</f>
        <v>69.930086569999986</v>
      </c>
      <c r="AF26" s="8">
        <v>76.863636579999991</v>
      </c>
      <c r="AG26" s="8">
        <f>+SUM('Operating Income'!AE67:AH67)</f>
        <v>68.089283949999995</v>
      </c>
      <c r="AH26" s="8">
        <f>+SUM('Operating Income'!AF67:AI67)</f>
        <v>67.756404210000014</v>
      </c>
      <c r="AI26" s="8">
        <v>65.112546980000005</v>
      </c>
      <c r="AJ26" s="8">
        <v>62.386580030000005</v>
      </c>
      <c r="AK26" s="8">
        <f>+SUM('Operating Income'!AI66:AL67)</f>
        <v>63.318479580000002</v>
      </c>
      <c r="AL26" s="8">
        <v>67.524850399999991</v>
      </c>
      <c r="AM26" s="8">
        <v>69.527732159999999</v>
      </c>
      <c r="AN26" s="8">
        <f>+SUM('Operating Income'!AL67:AO67)</f>
        <v>77.495678689999977</v>
      </c>
      <c r="AO26" s="8">
        <f>+SUM('Operating Income'!AM67:AP67)</f>
        <v>84.790058539999976</v>
      </c>
      <c r="AP26" s="8">
        <v>89.667325249999962</v>
      </c>
      <c r="AQ26" s="8">
        <v>105.13941662000002</v>
      </c>
      <c r="AR26" s="8">
        <f>+SUM('Operating Income'!AP67:AS67)</f>
        <v>105.24583850000006</v>
      </c>
      <c r="AS26" s="8">
        <v>84.2</v>
      </c>
      <c r="AT26" s="8">
        <v>107.8</v>
      </c>
      <c r="AU26" s="8">
        <f>SUM('Operating Income'!AS67:AV67)</f>
        <v>98.132997599999982</v>
      </c>
      <c r="AV26" s="8">
        <f>SUM('Operating Income'!AT67:AW67)</f>
        <v>90.688307479999963</v>
      </c>
      <c r="AW26" s="8">
        <f>SUM('Operating Income'!AU67:AX67)</f>
        <v>111.22836588999998</v>
      </c>
      <c r="AX26" s="8">
        <f>SUM('Operating Income'!AV67:AY67)</f>
        <v>84.904085570000021</v>
      </c>
      <c r="AY26" s="8">
        <f>SUM('Operating Income'!AW67:AZ67)</f>
        <v>84.151591249999996</v>
      </c>
      <c r="AZ26" s="8">
        <f>SUM('Operating Income'!AX67:BA67)</f>
        <v>88.453148110000001</v>
      </c>
      <c r="BA26" s="8">
        <f>SUM('Operating Income'!AY67:BB67)</f>
        <v>88.27903834</v>
      </c>
    </row>
    <row r="27" spans="1:53">
      <c r="A27" s="5" t="s">
        <v>230</v>
      </c>
      <c r="B27" s="8">
        <f>HLOOKUP($B$20,$G$20:$BQ$27,$F27,FALSE)</f>
        <v>3.2279916563075095</v>
      </c>
      <c r="C27" s="8">
        <f>HLOOKUP($C$20,$G$20:$BQ$27,$F27,FALSE)</f>
        <v>2.7354685853049356</v>
      </c>
      <c r="D27" s="41">
        <f t="shared" si="22"/>
        <v>-0.15257879308336553</v>
      </c>
      <c r="F27" s="53">
        <f t="shared" si="21"/>
        <v>8</v>
      </c>
      <c r="G27" s="5" t="s">
        <v>230</v>
      </c>
      <c r="H27" s="30"/>
      <c r="I27" s="30"/>
      <c r="J27" s="30"/>
      <c r="K27" s="30"/>
      <c r="L27" s="30"/>
      <c r="M27" s="30"/>
      <c r="N27" s="30"/>
      <c r="O27" s="30"/>
      <c r="P27" s="8">
        <f t="shared" ref="P27" si="29">P25/P26</f>
        <v>6.812071025287338</v>
      </c>
      <c r="Q27" s="8">
        <f t="shared" ref="Q27" si="30">Q25/Q26</f>
        <v>8.2396924068402893</v>
      </c>
      <c r="R27" s="8">
        <f t="shared" ref="R27" si="31">R25/R26</f>
        <v>7.2422969490599751</v>
      </c>
      <c r="S27" s="8">
        <f t="shared" ref="S27:V27" si="32">S25/S26</f>
        <v>6.082419405089329</v>
      </c>
      <c r="T27" s="8">
        <f t="shared" si="32"/>
        <v>6.3433220503669787</v>
      </c>
      <c r="U27" s="8">
        <f t="shared" si="32"/>
        <v>6.1603357613367482</v>
      </c>
      <c r="V27" s="8">
        <f t="shared" si="32"/>
        <v>6.1594951218491349</v>
      </c>
      <c r="W27" s="8">
        <f t="shared" ref="W27:X27" si="33">W25/W26</f>
        <v>5.6200828843228612</v>
      </c>
      <c r="X27" s="8">
        <f t="shared" si="33"/>
        <v>5.9463480559922361</v>
      </c>
      <c r="Y27" s="8">
        <f t="shared" ref="Y27" si="34">Y25/Y26</f>
        <v>5.6376507857584421</v>
      </c>
      <c r="Z27" s="8">
        <f>Z25/Z26</f>
        <v>6.3088231922555744</v>
      </c>
      <c r="AA27" s="8">
        <f>AA25/AA26</f>
        <v>9.1042702507476125</v>
      </c>
      <c r="AB27" s="8">
        <f t="shared" ref="AB27:AH27" si="35">+AB25/AB26</f>
        <v>7.6230803438079393</v>
      </c>
      <c r="AC27" s="8">
        <f t="shared" si="35"/>
        <v>9.2052025542810334</v>
      </c>
      <c r="AD27" s="8">
        <f t="shared" si="35"/>
        <v>7.6966107928431313</v>
      </c>
      <c r="AE27" s="8">
        <f t="shared" si="35"/>
        <v>6.2275752552382411</v>
      </c>
      <c r="AF27" s="8">
        <f t="shared" si="35"/>
        <v>5.7049140509193448</v>
      </c>
      <c r="AG27" s="8">
        <f t="shared" si="35"/>
        <v>6.3347358334203783</v>
      </c>
      <c r="AH27" s="8">
        <f t="shared" si="35"/>
        <v>6.363345313362518</v>
      </c>
      <c r="AI27" s="8">
        <f t="shared" ref="AI27:AN27" si="36">+AI25/AI26</f>
        <v>6.6148510154624569</v>
      </c>
      <c r="AJ27" s="8">
        <f t="shared" si="36"/>
        <v>6.7571632894011024</v>
      </c>
      <c r="AK27" s="8">
        <f t="shared" si="36"/>
        <v>6.503550688542922</v>
      </c>
      <c r="AL27" s="8">
        <f t="shared" si="36"/>
        <v>6.0271863179473426</v>
      </c>
      <c r="AM27" s="8">
        <f t="shared" si="36"/>
        <v>5.777674150877985</v>
      </c>
      <c r="AN27" s="8">
        <f t="shared" si="36"/>
        <v>5.0255839493700174</v>
      </c>
      <c r="AO27" s="8">
        <f t="shared" ref="AO27:AX27" si="37">+AO25/AO26</f>
        <v>4.4026503838763382</v>
      </c>
      <c r="AP27" s="8">
        <f t="shared" si="37"/>
        <v>4.1179334155877196</v>
      </c>
      <c r="AQ27" s="8">
        <f t="shared" si="37"/>
        <v>3.2866050171653747</v>
      </c>
      <c r="AR27" s="8">
        <f t="shared" si="37"/>
        <v>3.2061585736950207</v>
      </c>
      <c r="AS27" s="8">
        <f t="shared" si="37"/>
        <v>4.1264784169590838</v>
      </c>
      <c r="AT27" s="8">
        <f t="shared" si="37"/>
        <v>2.9598044146567726</v>
      </c>
      <c r="AU27" s="8">
        <f t="shared" si="37"/>
        <v>3.1971870124550241</v>
      </c>
      <c r="AV27" s="8">
        <f t="shared" si="37"/>
        <v>3.3481647284790639</v>
      </c>
      <c r="AW27" s="8">
        <f t="shared" si="37"/>
        <v>2.6305324314425209</v>
      </c>
      <c r="AX27" s="8">
        <f t="shared" si="37"/>
        <v>3.276622695625599</v>
      </c>
      <c r="AY27" s="8">
        <f>+AY25/AY26</f>
        <v>3.2279916563075095</v>
      </c>
      <c r="AZ27" s="8">
        <f t="shared" ref="AZ27:BA27" si="38">+AZ25/AZ26</f>
        <v>2.990806709004989</v>
      </c>
      <c r="BA27" s="8">
        <f t="shared" si="38"/>
        <v>2.7354685853049356</v>
      </c>
    </row>
    <row r="29" spans="1:53">
      <c r="G29" s="1" t="s">
        <v>231</v>
      </c>
      <c r="R29" s="29"/>
      <c r="S29" s="29"/>
      <c r="T29" s="29"/>
      <c r="U29" s="29"/>
      <c r="V29" s="29"/>
      <c r="W29" s="29"/>
      <c r="X29" s="48"/>
      <c r="Y29" s="48"/>
      <c r="Z29" s="48"/>
      <c r="AA29" s="48"/>
      <c r="AB29" s="48"/>
      <c r="AC29" s="48"/>
      <c r="AD29" s="48"/>
      <c r="AE29" s="48"/>
      <c r="AF29" s="48"/>
      <c r="AG29" s="48"/>
      <c r="AH29" s="48"/>
      <c r="AI29" s="48"/>
      <c r="AJ29" s="48"/>
      <c r="AK29" s="48"/>
      <c r="AL29" s="48"/>
      <c r="AM29" s="48"/>
      <c r="AN29" s="48"/>
      <c r="AT29" s="48"/>
      <c r="AU29" s="48"/>
      <c r="AV29" s="48"/>
      <c r="AW29" s="48"/>
      <c r="AX29" s="48"/>
      <c r="AY29" s="48"/>
      <c r="AZ29" s="48"/>
      <c r="BA29" s="48"/>
    </row>
    <row r="30" spans="1:53">
      <c r="B30" s="46"/>
      <c r="AU30" s="48"/>
      <c r="AV30" s="48"/>
      <c r="AW30" s="48"/>
      <c r="AX30" s="48"/>
      <c r="AY30" s="48"/>
      <c r="AZ30" s="48"/>
      <c r="BA30" s="48"/>
    </row>
    <row r="31" spans="1:53" ht="119.25" customHeight="1">
      <c r="A31" s="130" t="s">
        <v>232</v>
      </c>
      <c r="B31" s="130"/>
      <c r="C31" s="130"/>
      <c r="D31" s="130"/>
    </row>
  </sheetData>
  <mergeCells count="99">
    <mergeCell ref="A31:D31"/>
    <mergeCell ref="P6:P7"/>
    <mergeCell ref="W6:W7"/>
    <mergeCell ref="W20:W21"/>
    <mergeCell ref="S6:S7"/>
    <mergeCell ref="T6:T7"/>
    <mergeCell ref="U6:U7"/>
    <mergeCell ref="V6:V7"/>
    <mergeCell ref="Q6:Q7"/>
    <mergeCell ref="R6:R7"/>
    <mergeCell ref="U20:U21"/>
    <mergeCell ref="V20:V21"/>
    <mergeCell ref="H6:H7"/>
    <mergeCell ref="H20:H21"/>
    <mergeCell ref="B6:B7"/>
    <mergeCell ref="C6:C7"/>
    <mergeCell ref="B20:B21"/>
    <mergeCell ref="C20:C21"/>
    <mergeCell ref="AW6:AW7"/>
    <mergeCell ref="AW20:AW21"/>
    <mergeCell ref="D20:D21"/>
    <mergeCell ref="D6:D7"/>
    <mergeCell ref="K6:K7"/>
    <mergeCell ref="I20:I21"/>
    <mergeCell ref="J20:J21"/>
    <mergeCell ref="K20:K21"/>
    <mergeCell ref="I6:I7"/>
    <mergeCell ref="J6:J7"/>
    <mergeCell ref="M20:M21"/>
    <mergeCell ref="N20:N21"/>
    <mergeCell ref="M6:M7"/>
    <mergeCell ref="N6:N7"/>
    <mergeCell ref="L6:L7"/>
    <mergeCell ref="L20:L21"/>
    <mergeCell ref="R20:R21"/>
    <mergeCell ref="S20:S21"/>
    <mergeCell ref="O20:O21"/>
    <mergeCell ref="P20:P21"/>
    <mergeCell ref="Q20:Q21"/>
    <mergeCell ref="O6:O7"/>
    <mergeCell ref="X6:X7"/>
    <mergeCell ref="X20:X21"/>
    <mergeCell ref="T20:T21"/>
    <mergeCell ref="AD6:AD7"/>
    <mergeCell ref="AD20:AD21"/>
    <mergeCell ref="AC6:AC7"/>
    <mergeCell ref="AC20:AC21"/>
    <mergeCell ref="AB6:AB7"/>
    <mergeCell ref="AB20:AB21"/>
    <mergeCell ref="Z6:Z7"/>
    <mergeCell ref="Z20:Z21"/>
    <mergeCell ref="Y6:Y7"/>
    <mergeCell ref="Y20:Y21"/>
    <mergeCell ref="AA6:AA7"/>
    <mergeCell ref="AA20:AA21"/>
    <mergeCell ref="AN6:AN7"/>
    <mergeCell ref="AN20:AN21"/>
    <mergeCell ref="AE20:AE21"/>
    <mergeCell ref="AE6:AE7"/>
    <mergeCell ref="AH6:AH7"/>
    <mergeCell ref="AH20:AH21"/>
    <mergeCell ref="AG6:AG7"/>
    <mergeCell ref="AG20:AG21"/>
    <mergeCell ref="AF6:AF7"/>
    <mergeCell ref="AF20:AF21"/>
    <mergeCell ref="AQ6:AQ7"/>
    <mergeCell ref="AQ20:AQ21"/>
    <mergeCell ref="AP6:AP7"/>
    <mergeCell ref="AP20:AP21"/>
    <mergeCell ref="AO6:AO7"/>
    <mergeCell ref="AO20:AO21"/>
    <mergeCell ref="AT6:AT7"/>
    <mergeCell ref="AT20:AT21"/>
    <mergeCell ref="AI6:AI7"/>
    <mergeCell ref="AI20:AI21"/>
    <mergeCell ref="AM6:AM7"/>
    <mergeCell ref="AM20:AM21"/>
    <mergeCell ref="AS6:AS7"/>
    <mergeCell ref="AS20:AS21"/>
    <mergeCell ref="AK6:AK7"/>
    <mergeCell ref="AK20:AK21"/>
    <mergeCell ref="AJ6:AJ7"/>
    <mergeCell ref="AJ20:AJ21"/>
    <mergeCell ref="AL6:AL7"/>
    <mergeCell ref="AL20:AL21"/>
    <mergeCell ref="AR6:AR7"/>
    <mergeCell ref="AR20:AR21"/>
    <mergeCell ref="AV6:AV7"/>
    <mergeCell ref="AV20:AV21"/>
    <mergeCell ref="AU6:AU7"/>
    <mergeCell ref="AU20:AU21"/>
    <mergeCell ref="AX6:AX7"/>
    <mergeCell ref="AX20:AX21"/>
    <mergeCell ref="AZ6:AZ7"/>
    <mergeCell ref="BA6:BA7"/>
    <mergeCell ref="AZ20:AZ21"/>
    <mergeCell ref="BA20:BA21"/>
    <mergeCell ref="AY6:AY7"/>
    <mergeCell ref="AY20:AY21"/>
  </mergeCells>
  <pageMargins left="0.7" right="0.7" top="0.75" bottom="0.75" header="0.3" footer="0.3"/>
  <pageSetup orientation="portrait" r:id="rId1"/>
  <ignoredErrors>
    <ignoredError sqref="AK11 AR11"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448556e-ab45-447d-a243-5b6498f30d0f" xsi:nil="true"/>
    <lcf76f155ced4ddcb4097134ff3c332f xmlns="af28b929-2fa0-4937-be7e-13907b45f7f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AEAA8A3D209B41BC4DB5A9CB5E50DE" ma:contentTypeVersion="18" ma:contentTypeDescription="Crear nuevo documento." ma:contentTypeScope="" ma:versionID="e0f81e231336bd10f8d353e5b95126b9">
  <xsd:schema xmlns:xsd="http://www.w3.org/2001/XMLSchema" xmlns:xs="http://www.w3.org/2001/XMLSchema" xmlns:p="http://schemas.microsoft.com/office/2006/metadata/properties" xmlns:ns2="af28b929-2fa0-4937-be7e-13907b45f7fc" xmlns:ns3="8448556e-ab45-447d-a243-5b6498f30d0f" targetNamespace="http://schemas.microsoft.com/office/2006/metadata/properties" ma:root="true" ma:fieldsID="2e8838ccae4717b67a995987d915c4a6" ns2:_="" ns3:_="">
    <xsd:import namespace="af28b929-2fa0-4937-be7e-13907b45f7fc"/>
    <xsd:import namespace="8448556e-ab45-447d-a243-5b6498f30d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8b929-2fa0-4937-be7e-13907b45f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75f71c0-b4dd-493d-965f-77a5d41d4b26"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48556e-ab45-447d-a243-5b6498f30d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ed38ad9a-3782-4073-8f84-34df946470be}" ma:internalName="TaxCatchAll" ma:showField="CatchAllData" ma:web="8448556e-ab45-447d-a243-5b6498f30d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A24069-4881-426E-A50B-2B90C6FAFD2F}">
  <ds:schemaRefs>
    <ds:schemaRef ds:uri="af28b929-2fa0-4937-be7e-13907b45f7fc"/>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8448556e-ab45-447d-a243-5b6498f30d0f"/>
    <ds:schemaRef ds:uri="http://schemas.microsoft.com/office/2006/metadata/properties"/>
  </ds:schemaRefs>
</ds:datastoreItem>
</file>

<file path=customXml/itemProps2.xml><?xml version="1.0" encoding="utf-8"?>
<ds:datastoreItem xmlns:ds="http://schemas.openxmlformats.org/officeDocument/2006/customXml" ds:itemID="{FD141748-2792-467F-9725-60BB5669D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8b929-2fa0-4937-be7e-13907b45f7fc"/>
    <ds:schemaRef ds:uri="8448556e-ab45-447d-a243-5b6498f30d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5F6794-A2FB-4EC1-92F9-2F6866DB1C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PPAs</vt:lpstr>
      <vt:lpstr>Installed Capacity</vt:lpstr>
      <vt:lpstr>Physical Sales &amp; Gx.</vt:lpstr>
      <vt:lpstr>Income Statement</vt:lpstr>
      <vt:lpstr>Operating Income</vt:lpstr>
      <vt:lpstr>Non-Operating Income</vt:lpstr>
      <vt:lpstr>Balance Sheet</vt:lpstr>
      <vt:lpstr>Main Debt Items</vt:lpstr>
      <vt:lpstr>Amortization Profile</vt: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Isidora Zaldivar Safian</dc:creator>
  <cp:keywords/>
  <dc:description/>
  <cp:lastModifiedBy>Carolina Alejandra Plasser Lorca</cp:lastModifiedBy>
  <cp:revision/>
  <dcterms:created xsi:type="dcterms:W3CDTF">2017-12-05T18:05:13Z</dcterms:created>
  <dcterms:modified xsi:type="dcterms:W3CDTF">2025-07-30T20:30:43Z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0x01010082AEAA8A3D209B41BC4DB5A9CB5E50DE</vt:lpwstr>
  </property>
  <property fmtid="{D5CDD505-2E9C-101B-9397-08002B2CF9AE}" pid="3" name="MediaServiceImageTags">
    <vt:lpwstr/>
  </property>
</Properties>
</file>