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colbun-my.sharepoint.com/personal/mguell_colbun_cl/Documents/Investor Relations/01 AARR/2024/2T24/Finales/"/>
    </mc:Choice>
  </mc:AlternateContent>
  <xr:revisionPtr revIDLastSave="0" documentId="8_{DE9C058B-E49E-4367-B140-AE801249FC9D}" xr6:coauthVersionLast="47" xr6:coauthVersionMax="47" xr10:uidLastSave="{00000000-0000-0000-0000-000000000000}"/>
  <bookViews>
    <workbookView xWindow="-110" yWindow="-110" windowWidth="19420" windowHeight="10300" firstSheet="4" activeTab="6" xr2:uid="{00000000-000D-0000-FFFF-FFFF00000000}"/>
  </bookViews>
  <sheets>
    <sheet name="Index" sheetId="10" r:id="rId1"/>
    <sheet name="Installed Capacity" sheetId="12" r:id="rId2"/>
    <sheet name="PPAs" sheetId="15" r:id="rId3"/>
    <sheet name="Physical Sales &amp; Gx." sheetId="6" r:id="rId4"/>
    <sheet name="Income Statement" sheetId="1" r:id="rId5"/>
    <sheet name="Operating Income" sheetId="2" r:id="rId6"/>
    <sheet name="Non-Operating Income" sheetId="3" r:id="rId7"/>
    <sheet name="Balance Sheet" sheetId="4" r:id="rId8"/>
    <sheet name="Main Debt Items" sheetId="7" r:id="rId9"/>
    <sheet name="Amortization Profile" sheetId="8" r:id="rId10"/>
    <sheet name="Cash Flow" sheetId="5"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42" i="3" l="1"/>
  <c r="AL16" i="4" l="1"/>
  <c r="AL14" i="4"/>
  <c r="AT21" i="3"/>
  <c r="AT17" i="3"/>
  <c r="AT12" i="3"/>
  <c r="AT11" i="3"/>
  <c r="AT10" i="3"/>
  <c r="AT9" i="3"/>
  <c r="AT38" i="3"/>
  <c r="AT19" i="3"/>
  <c r="AT13" i="3"/>
  <c r="AX18" i="5"/>
  <c r="E37" i="5"/>
  <c r="AW26" i="7"/>
  <c r="AX16" i="5"/>
  <c r="AX12" i="5"/>
  <c r="AX11" i="5"/>
  <c r="AX13" i="5"/>
  <c r="AX33" i="5" l="1"/>
  <c r="AX14" i="5"/>
  <c r="AT65" i="2"/>
  <c r="AT67" i="2" s="1"/>
  <c r="AU65" i="2"/>
  <c r="AU67" i="2" s="1"/>
  <c r="AV65" i="2"/>
  <c r="AV67" i="2" s="1"/>
  <c r="AT10" i="2"/>
  <c r="AU10" i="2"/>
  <c r="AU25" i="2" s="1"/>
  <c r="AU31" i="2" s="1"/>
  <c r="AU33" i="2" s="1"/>
  <c r="AV10" i="2"/>
  <c r="AW10" i="2"/>
  <c r="AT17" i="2"/>
  <c r="AU17" i="2"/>
  <c r="AV17" i="2"/>
  <c r="AW17" i="2"/>
  <c r="AW23" i="7"/>
  <c r="AW25" i="7" s="1"/>
  <c r="AW9" i="7"/>
  <c r="AK37" i="4"/>
  <c r="AL37" i="4"/>
  <c r="AK31" i="4"/>
  <c r="AL31" i="4"/>
  <c r="AL18" i="4"/>
  <c r="AK12" i="4"/>
  <c r="AL12" i="4"/>
  <c r="AX45" i="2"/>
  <c r="AX52" i="2"/>
  <c r="AX10" i="2"/>
  <c r="AX17" i="2"/>
  <c r="AX44" i="3"/>
  <c r="AX47" i="3" s="1"/>
  <c r="AX40" i="3"/>
  <c r="AX46" i="3"/>
  <c r="AX35" i="3"/>
  <c r="AX34" i="3"/>
  <c r="AX33" i="3"/>
  <c r="AV15" i="3"/>
  <c r="AW15" i="3"/>
  <c r="AW25" i="2" l="1"/>
  <c r="AX25" i="2"/>
  <c r="AX31" i="2" s="1"/>
  <c r="AX33" i="2" s="1"/>
  <c r="AW11" i="7"/>
  <c r="AV25" i="2"/>
  <c r="AX59" i="2"/>
  <c r="AX65" i="2" s="1"/>
  <c r="AX67" i="2" s="1"/>
  <c r="AT25" i="2"/>
  <c r="AT31" i="2" s="1"/>
  <c r="AL13" i="1" l="1"/>
  <c r="AL21" i="1" s="1"/>
  <c r="AL27" i="1" s="1"/>
  <c r="AL9" i="1"/>
  <c r="AX51" i="6"/>
  <c r="AX46" i="6"/>
  <c r="AW46" i="6"/>
  <c r="AX39" i="6"/>
  <c r="AX17" i="6"/>
  <c r="AX9" i="6"/>
  <c r="AQ23" i="3" l="1"/>
  <c r="AK16" i="4" l="1"/>
  <c r="AK18" i="4" s="1"/>
  <c r="AW38" i="3"/>
  <c r="AW36" i="3"/>
  <c r="AW35" i="3"/>
  <c r="AW34" i="3"/>
  <c r="AW33" i="3"/>
  <c r="AW44" i="3"/>
  <c r="AW42" i="3"/>
  <c r="AW40" i="3"/>
  <c r="AW16" i="5"/>
  <c r="AW13" i="5"/>
  <c r="AW12" i="5"/>
  <c r="AW11" i="5"/>
  <c r="AW33" i="5"/>
  <c r="AW14" i="5" l="1"/>
  <c r="AV25" i="7"/>
  <c r="AV11" i="7"/>
  <c r="AW52" i="2" l="1"/>
  <c r="AT47" i="3"/>
  <c r="AU47" i="3"/>
  <c r="AW47" i="3"/>
  <c r="AT46" i="3"/>
  <c r="AT23" i="3" s="1"/>
  <c r="AU46" i="3"/>
  <c r="AU23" i="3" s="1"/>
  <c r="AW46" i="3"/>
  <c r="AW23" i="3" s="1"/>
  <c r="AS47" i="3"/>
  <c r="AS46" i="3"/>
  <c r="AS23" i="3" s="1"/>
  <c r="AW45" i="2"/>
  <c r="AW59" i="2" s="1"/>
  <c r="AW65" i="2" s="1"/>
  <c r="AW67" i="2" s="1"/>
  <c r="AW27" i="7" s="1"/>
  <c r="AW31" i="2"/>
  <c r="AW33" i="2" s="1"/>
  <c r="AW29" i="6"/>
  <c r="AW17" i="6"/>
  <c r="AW9" i="6"/>
  <c r="AT16" i="5"/>
  <c r="AV11" i="5"/>
  <c r="AV12" i="5"/>
  <c r="AT12" i="5"/>
  <c r="AT13" i="5"/>
  <c r="AV16" i="5"/>
  <c r="AT33" i="2"/>
  <c r="AR31" i="2"/>
  <c r="AR33" i="2" s="1"/>
  <c r="AH16" i="4"/>
  <c r="AH15" i="4"/>
  <c r="AH14" i="4"/>
  <c r="AH10" i="4"/>
  <c r="AH9" i="4"/>
  <c r="AF10" i="4"/>
  <c r="AF9" i="4"/>
  <c r="AV26" i="7" l="1"/>
  <c r="AV27" i="7" s="1"/>
  <c r="AH18" i="4"/>
  <c r="AJ16" i="4"/>
  <c r="AJ15" i="4"/>
  <c r="AJ14" i="4"/>
  <c r="AJ10" i="4"/>
  <c r="AJ9" i="4"/>
  <c r="AJ37" i="4"/>
  <c r="AJ18" i="4" s="1"/>
  <c r="AJ31" i="4"/>
  <c r="AJ12" i="4" s="1"/>
  <c r="AV13" i="5"/>
  <c r="AV33" i="5" l="1"/>
  <c r="AU25" i="7" l="1"/>
  <c r="AU11" i="7"/>
  <c r="AR30" i="5"/>
  <c r="AU12" i="5"/>
  <c r="AV14" i="5" l="1"/>
  <c r="AS11" i="2" l="1"/>
  <c r="AS12" i="2"/>
  <c r="AR17" i="2"/>
  <c r="AS17" i="2"/>
  <c r="AR52" i="2"/>
  <c r="AV31" i="2" l="1"/>
  <c r="AV33" i="2" s="1"/>
  <c r="AW12" i="7" s="1"/>
  <c r="AV12" i="7" l="1"/>
  <c r="AV13" i="7" s="1"/>
  <c r="AV44" i="3"/>
  <c r="AV40" i="3"/>
  <c r="AR15" i="3"/>
  <c r="AJ43" i="1"/>
  <c r="AV46" i="6"/>
  <c r="AR51" i="6"/>
  <c r="AV17" i="6"/>
  <c r="AV29" i="6"/>
  <c r="AV9" i="6"/>
  <c r="AW13" i="7" l="1"/>
  <c r="AV47" i="3"/>
  <c r="AV46" i="3"/>
  <c r="AV23" i="3" s="1"/>
  <c r="C26" i="12"/>
  <c r="AT11" i="5"/>
  <c r="AT33" i="5"/>
  <c r="AU33" i="5"/>
  <c r="AF16" i="4"/>
  <c r="AI10" i="4"/>
  <c r="AI9" i="4"/>
  <c r="AI12" i="4" s="1"/>
  <c r="AU11" i="5"/>
  <c r="G26" i="5"/>
  <c r="G27" i="5" s="1"/>
  <c r="G28" i="5" s="1"/>
  <c r="G29" i="5" s="1"/>
  <c r="G30" i="5" s="1"/>
  <c r="G31" i="5" s="1"/>
  <c r="G32" i="5" s="1"/>
  <c r="G33" i="5" s="1"/>
  <c r="G34" i="5" s="1"/>
  <c r="G35" i="5" s="1"/>
  <c r="G36" i="5" s="1"/>
  <c r="G37" i="5" s="1"/>
  <c r="G7" i="5"/>
  <c r="G8" i="5" s="1"/>
  <c r="G9" i="5" s="1"/>
  <c r="D25" i="5"/>
  <c r="C25" i="5"/>
  <c r="F21" i="7"/>
  <c r="F22" i="7" s="1"/>
  <c r="F23" i="7" s="1"/>
  <c r="F24" i="7" s="1"/>
  <c r="F25" i="7" s="1"/>
  <c r="F26" i="7" s="1"/>
  <c r="F27" i="7" s="1"/>
  <c r="F7" i="7"/>
  <c r="F8" i="7" s="1"/>
  <c r="F9" i="7" s="1"/>
  <c r="C20" i="7"/>
  <c r="C24" i="7" s="1"/>
  <c r="B20" i="7"/>
  <c r="B24" i="7" s="1"/>
  <c r="G26" i="4"/>
  <c r="G27" i="4" s="1"/>
  <c r="G28" i="4" s="1"/>
  <c r="G29" i="4" s="1"/>
  <c r="G30" i="4" s="1"/>
  <c r="G31" i="4" s="1"/>
  <c r="G32" i="4" s="1"/>
  <c r="G7" i="4"/>
  <c r="G8" i="4" s="1"/>
  <c r="G9" i="4" s="1"/>
  <c r="D25" i="4"/>
  <c r="C25" i="4"/>
  <c r="G31" i="3"/>
  <c r="G32" i="3" s="1"/>
  <c r="G33" i="3" s="1"/>
  <c r="G34" i="3" s="1"/>
  <c r="G7" i="3"/>
  <c r="G8" i="3" s="1"/>
  <c r="G9" i="3" s="1"/>
  <c r="G43" i="2"/>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8" i="2"/>
  <c r="G9" i="2" s="1"/>
  <c r="G10" i="2" s="1"/>
  <c r="D10" i="2" s="1"/>
  <c r="D42" i="2"/>
  <c r="D53" i="2" s="1"/>
  <c r="C42" i="2"/>
  <c r="C53" i="2" s="1"/>
  <c r="G7" i="1"/>
  <c r="G8" i="1" s="1"/>
  <c r="G9" i="1" s="1"/>
  <c r="AR39" i="6"/>
  <c r="G37" i="6"/>
  <c r="G38" i="6" s="1"/>
  <c r="G39" i="6" s="1"/>
  <c r="G40" i="6" s="1"/>
  <c r="G41" i="6" s="1"/>
  <c r="D36" i="6"/>
  <c r="C36" i="6"/>
  <c r="G7" i="6"/>
  <c r="G8" i="6" s="1"/>
  <c r="G9" i="6" s="1"/>
  <c r="G10" i="6" s="1"/>
  <c r="G11" i="6" s="1"/>
  <c r="D11" i="6" s="1"/>
  <c r="C11" i="6" l="1"/>
  <c r="C31" i="5"/>
  <c r="C32" i="5"/>
  <c r="C35" i="5"/>
  <c r="C30" i="5"/>
  <c r="D32" i="5"/>
  <c r="D33" i="5"/>
  <c r="D35" i="5"/>
  <c r="D30" i="5"/>
  <c r="D31" i="5"/>
  <c r="G10" i="5"/>
  <c r="G11" i="5" s="1"/>
  <c r="C9" i="5"/>
  <c r="C29" i="4"/>
  <c r="C23" i="7"/>
  <c r="D50" i="2"/>
  <c r="C63" i="2"/>
  <c r="C50" i="2"/>
  <c r="D52" i="2"/>
  <c r="G35" i="3"/>
  <c r="G36" i="3" s="1"/>
  <c r="G37" i="3" s="1"/>
  <c r="C34" i="3"/>
  <c r="D34" i="3"/>
  <c r="D9" i="4"/>
  <c r="G10" i="4"/>
  <c r="D9" i="1"/>
  <c r="G10" i="1"/>
  <c r="G33" i="4"/>
  <c r="C33" i="4" s="1"/>
  <c r="D41" i="6"/>
  <c r="C41" i="6"/>
  <c r="G42" i="6"/>
  <c r="C9" i="7"/>
  <c r="F10" i="7"/>
  <c r="C49" i="2"/>
  <c r="D49" i="2"/>
  <c r="G10" i="3"/>
  <c r="D31" i="4"/>
  <c r="C48" i="2"/>
  <c r="D48" i="2"/>
  <c r="C47" i="2"/>
  <c r="D47" i="2"/>
  <c r="D29" i="4"/>
  <c r="C46" i="2"/>
  <c r="D46" i="2"/>
  <c r="C28" i="4"/>
  <c r="B23" i="7"/>
  <c r="D45" i="2"/>
  <c r="D33" i="3"/>
  <c r="D67" i="2"/>
  <c r="C66" i="2"/>
  <c r="D66" i="2"/>
  <c r="D65" i="2"/>
  <c r="D63" i="2"/>
  <c r="C62" i="2"/>
  <c r="D62" i="2"/>
  <c r="D9" i="3"/>
  <c r="C61" i="2"/>
  <c r="D61" i="2"/>
  <c r="C25" i="7"/>
  <c r="D59" i="2"/>
  <c r="C57" i="2"/>
  <c r="D57" i="2"/>
  <c r="D28" i="4"/>
  <c r="C56" i="2"/>
  <c r="D56" i="2"/>
  <c r="C33" i="3"/>
  <c r="C55" i="2"/>
  <c r="D55" i="2"/>
  <c r="C54" i="2"/>
  <c r="D54" i="2"/>
  <c r="G11" i="2"/>
  <c r="D11" i="2" s="1"/>
  <c r="G12" i="6"/>
  <c r="AU16" i="5"/>
  <c r="AU38" i="3"/>
  <c r="AU12" i="3"/>
  <c r="AU13" i="3"/>
  <c r="AU11" i="3"/>
  <c r="AU10" i="3"/>
  <c r="AU9" i="3"/>
  <c r="AU15" i="3" s="1"/>
  <c r="AU17" i="3"/>
  <c r="AI16" i="4"/>
  <c r="AI15" i="4"/>
  <c r="AI14" i="4"/>
  <c r="AI18" i="4" l="1"/>
  <c r="E55" i="2"/>
  <c r="E54" i="2"/>
  <c r="E57" i="2"/>
  <c r="E47" i="2"/>
  <c r="C36" i="3"/>
  <c r="G12" i="5"/>
  <c r="D11" i="5"/>
  <c r="E50" i="2"/>
  <c r="E33" i="3"/>
  <c r="C35" i="3"/>
  <c r="D35" i="3"/>
  <c r="D42" i="6"/>
  <c r="D39" i="6" s="1"/>
  <c r="C42" i="6"/>
  <c r="C39" i="6" s="1"/>
  <c r="G43" i="6"/>
  <c r="F11" i="7"/>
  <c r="C10" i="7"/>
  <c r="G34" i="4"/>
  <c r="D33" i="4"/>
  <c r="G13" i="6"/>
  <c r="C12" i="6"/>
  <c r="D12" i="6"/>
  <c r="C10" i="1"/>
  <c r="D10" i="1"/>
  <c r="G11" i="1"/>
  <c r="G11" i="4"/>
  <c r="D10" i="4"/>
  <c r="G11" i="3"/>
  <c r="D10" i="3"/>
  <c r="G38" i="3"/>
  <c r="C11" i="2"/>
  <c r="G12" i="2"/>
  <c r="D12" i="2" s="1"/>
  <c r="E32" i="5"/>
  <c r="G13" i="5" l="1"/>
  <c r="D12" i="5"/>
  <c r="G14" i="6"/>
  <c r="C13" i="6"/>
  <c r="D13" i="6"/>
  <c r="G12" i="3"/>
  <c r="D11" i="3"/>
  <c r="D11" i="1"/>
  <c r="C11" i="1"/>
  <c r="G12" i="1"/>
  <c r="G13" i="1" s="1"/>
  <c r="G35" i="4"/>
  <c r="D34" i="4"/>
  <c r="C34" i="4"/>
  <c r="G44" i="6"/>
  <c r="C43" i="6"/>
  <c r="D43" i="6"/>
  <c r="C11" i="7"/>
  <c r="F12" i="7"/>
  <c r="G12" i="4"/>
  <c r="G39" i="3"/>
  <c r="C12" i="2"/>
  <c r="G13" i="2"/>
  <c r="D13" i="2" s="1"/>
  <c r="G14" i="5" l="1"/>
  <c r="D13" i="5"/>
  <c r="G36" i="4"/>
  <c r="C35" i="4"/>
  <c r="D35" i="4"/>
  <c r="D13" i="1"/>
  <c r="G14" i="1"/>
  <c r="G13" i="3"/>
  <c r="D12" i="3"/>
  <c r="G13" i="4"/>
  <c r="D12" i="4"/>
  <c r="F13" i="7"/>
  <c r="G45" i="6"/>
  <c r="G46" i="6" s="1"/>
  <c r="C44" i="6"/>
  <c r="D44" i="6"/>
  <c r="G40" i="3"/>
  <c r="G15" i="6"/>
  <c r="C13" i="2"/>
  <c r="G14" i="2"/>
  <c r="D14" i="2" s="1"/>
  <c r="AU13" i="5"/>
  <c r="G15" i="5" l="1"/>
  <c r="G16" i="5" s="1"/>
  <c r="D14" i="5"/>
  <c r="AU14" i="5"/>
  <c r="G41" i="3"/>
  <c r="C40" i="3"/>
  <c r="D40" i="3"/>
  <c r="D46" i="6"/>
  <c r="G47" i="6"/>
  <c r="G48" i="6" s="1"/>
  <c r="G14" i="4"/>
  <c r="C14" i="1"/>
  <c r="D14" i="1"/>
  <c r="G15" i="1"/>
  <c r="G16" i="6"/>
  <c r="G17" i="6" s="1"/>
  <c r="C15" i="6"/>
  <c r="D15" i="6"/>
  <c r="G14" i="3"/>
  <c r="G37" i="4"/>
  <c r="C14" i="2"/>
  <c r="G15" i="2"/>
  <c r="D15" i="2" s="1"/>
  <c r="AU37" i="5"/>
  <c r="AT25" i="7"/>
  <c r="AT27" i="7" s="1"/>
  <c r="AT11" i="7"/>
  <c r="G17" i="5" l="1"/>
  <c r="G18" i="5" s="1"/>
  <c r="D16" i="5"/>
  <c r="AU18" i="5"/>
  <c r="AV28" i="5"/>
  <c r="AV37" i="5" s="1"/>
  <c r="AW28" i="5" s="1"/>
  <c r="G15" i="3"/>
  <c r="G18" i="6"/>
  <c r="D17" i="6"/>
  <c r="D14" i="4"/>
  <c r="G15" i="4"/>
  <c r="D48" i="6"/>
  <c r="G49" i="6"/>
  <c r="C48" i="6"/>
  <c r="D15" i="1"/>
  <c r="G16" i="1"/>
  <c r="C15" i="1"/>
  <c r="D37" i="4"/>
  <c r="G42" i="3"/>
  <c r="C15" i="2"/>
  <c r="E15" i="2" s="1"/>
  <c r="G16" i="2"/>
  <c r="AH31" i="4"/>
  <c r="AW37" i="5" l="1"/>
  <c r="D28" i="5"/>
  <c r="AV9" i="5"/>
  <c r="G43" i="3"/>
  <c r="C42" i="3"/>
  <c r="D42" i="3"/>
  <c r="D49" i="6"/>
  <c r="C49" i="6"/>
  <c r="G50" i="6"/>
  <c r="D15" i="4"/>
  <c r="G16" i="4"/>
  <c r="D16" i="1"/>
  <c r="G17" i="1"/>
  <c r="C16" i="1"/>
  <c r="G19" i="6"/>
  <c r="G16" i="3"/>
  <c r="G17" i="2"/>
  <c r="D17" i="2" s="1"/>
  <c r="AH12" i="4"/>
  <c r="AH37" i="4"/>
  <c r="AI37" i="4"/>
  <c r="AT15" i="3"/>
  <c r="AP46" i="3"/>
  <c r="AP23" i="3" s="1"/>
  <c r="D37" i="5" l="1"/>
  <c r="AX28" i="5"/>
  <c r="AX37" i="5" s="1"/>
  <c r="AV18" i="5"/>
  <c r="AW9" i="5" s="1"/>
  <c r="G17" i="3"/>
  <c r="D17" i="1"/>
  <c r="G18" i="1"/>
  <c r="C17" i="1"/>
  <c r="D16" i="4"/>
  <c r="G17" i="4"/>
  <c r="D50" i="6"/>
  <c r="G51" i="6"/>
  <c r="C50" i="6"/>
  <c r="G20" i="6"/>
  <c r="D19" i="6"/>
  <c r="C19" i="6"/>
  <c r="G44" i="3"/>
  <c r="G18" i="2"/>
  <c r="D18" i="2" s="1"/>
  <c r="AU45" i="2"/>
  <c r="AG21" i="1"/>
  <c r="AG27" i="1" s="1"/>
  <c r="AH21" i="1"/>
  <c r="AH27" i="1" s="1"/>
  <c r="AI21" i="1"/>
  <c r="AI27" i="1" s="1"/>
  <c r="D9" i="6"/>
  <c r="AS24" i="6"/>
  <c r="AT24" i="6"/>
  <c r="AU24" i="6"/>
  <c r="AS9" i="6"/>
  <c r="AT9" i="6"/>
  <c r="AU9" i="6"/>
  <c r="AR29" i="6"/>
  <c r="AS29" i="6"/>
  <c r="AT29" i="6"/>
  <c r="AU29" i="6"/>
  <c r="AU20" i="6"/>
  <c r="AW18" i="5" l="1"/>
  <c r="D9" i="5"/>
  <c r="G45" i="3"/>
  <c r="D44" i="3"/>
  <c r="G21" i="6"/>
  <c r="D20" i="6"/>
  <c r="G18" i="4"/>
  <c r="D18" i="4" s="1"/>
  <c r="D17" i="3"/>
  <c r="G18" i="3"/>
  <c r="D51" i="6"/>
  <c r="D18" i="1"/>
  <c r="G19" i="1"/>
  <c r="C18" i="1"/>
  <c r="C18" i="2"/>
  <c r="G19" i="2"/>
  <c r="D19" i="2" s="1"/>
  <c r="C9" i="6"/>
  <c r="D18" i="5" l="1"/>
  <c r="AX9" i="5"/>
  <c r="D19" i="1"/>
  <c r="G20" i="1"/>
  <c r="G21" i="1" s="1"/>
  <c r="C19" i="1"/>
  <c r="G19" i="3"/>
  <c r="G46" i="3"/>
  <c r="G22" i="6"/>
  <c r="C21" i="6"/>
  <c r="D21" i="6"/>
  <c r="G20" i="2"/>
  <c r="D20" i="2" s="1"/>
  <c r="C19" i="2"/>
  <c r="AS23" i="7"/>
  <c r="AS9" i="7"/>
  <c r="AS11" i="7" s="1"/>
  <c r="G23" i="6" l="1"/>
  <c r="D22" i="6"/>
  <c r="C22" i="6"/>
  <c r="G47" i="3"/>
  <c r="D46" i="3"/>
  <c r="G22" i="1"/>
  <c r="G23" i="1" s="1"/>
  <c r="D21" i="1"/>
  <c r="D19" i="3"/>
  <c r="G20" i="3"/>
  <c r="G21" i="2"/>
  <c r="D21" i="2" s="1"/>
  <c r="C20" i="2"/>
  <c r="C19" i="12"/>
  <c r="AT14" i="5" l="1"/>
  <c r="AT18" i="5" s="1"/>
  <c r="G21" i="3"/>
  <c r="C23" i="1"/>
  <c r="D23" i="1"/>
  <c r="G24" i="1"/>
  <c r="D47" i="3"/>
  <c r="G24" i="6"/>
  <c r="D23" i="6"/>
  <c r="C23" i="6"/>
  <c r="G22" i="2"/>
  <c r="D22" i="2" s="1"/>
  <c r="C21" i="2"/>
  <c r="G25" i="6" l="1"/>
  <c r="D24" i="6"/>
  <c r="D21" i="3"/>
  <c r="G22" i="3"/>
  <c r="D24" i="1"/>
  <c r="G25" i="1"/>
  <c r="C24" i="1"/>
  <c r="G23" i="2"/>
  <c r="D23" i="2" s="1"/>
  <c r="C22" i="2"/>
  <c r="AP15" i="3"/>
  <c r="C25" i="1" l="1"/>
  <c r="D25" i="1"/>
  <c r="G26" i="1"/>
  <c r="G27" i="1" s="1"/>
  <c r="G23" i="3"/>
  <c r="G26" i="6"/>
  <c r="C25" i="6"/>
  <c r="D25" i="6"/>
  <c r="G24" i="2"/>
  <c r="C23" i="2"/>
  <c r="D23" i="3" l="1"/>
  <c r="G27" i="6"/>
  <c r="C26" i="6"/>
  <c r="D26" i="6"/>
  <c r="G28" i="1"/>
  <c r="D27" i="1"/>
  <c r="G25" i="2"/>
  <c r="D25" i="2" s="1"/>
  <c r="AS25" i="7"/>
  <c r="E26" i="6" l="1"/>
  <c r="G29" i="1"/>
  <c r="C28" i="1"/>
  <c r="D28" i="1"/>
  <c r="G28" i="6"/>
  <c r="C27" i="6"/>
  <c r="D27" i="6"/>
  <c r="G26" i="2"/>
  <c r="AS27" i="7"/>
  <c r="C35" i="12"/>
  <c r="C15" i="12"/>
  <c r="C27" i="12" s="1"/>
  <c r="AS16" i="5"/>
  <c r="C16" i="5" s="1"/>
  <c r="E16" i="5" s="1"/>
  <c r="AS13" i="5"/>
  <c r="C13" i="5" s="1"/>
  <c r="E13" i="5" s="1"/>
  <c r="AS12" i="5"/>
  <c r="C12" i="5" s="1"/>
  <c r="AS11" i="5"/>
  <c r="C11" i="5" s="1"/>
  <c r="AS33" i="5"/>
  <c r="C33" i="5" s="1"/>
  <c r="AS14" i="5" l="1"/>
  <c r="C14" i="5" s="1"/>
  <c r="G29" i="6"/>
  <c r="G30" i="1"/>
  <c r="G31" i="1" s="1"/>
  <c r="D29" i="1"/>
  <c r="G27" i="2"/>
  <c r="D27" i="2" s="1"/>
  <c r="C36" i="12"/>
  <c r="C38" i="12" s="1"/>
  <c r="AS10" i="2"/>
  <c r="AS25" i="2" s="1"/>
  <c r="AS31" i="2" s="1"/>
  <c r="AG37" i="4"/>
  <c r="AG31" i="4"/>
  <c r="AG16" i="4"/>
  <c r="C16" i="4" s="1"/>
  <c r="AG15" i="4"/>
  <c r="AG14" i="4"/>
  <c r="AG10" i="4"/>
  <c r="AG9" i="4"/>
  <c r="AS19" i="3"/>
  <c r="AS17" i="3"/>
  <c r="AS33" i="2" l="1"/>
  <c r="C25" i="2"/>
  <c r="AS18" i="5"/>
  <c r="C18" i="5" s="1"/>
  <c r="G32" i="1"/>
  <c r="C31" i="1"/>
  <c r="D31" i="1"/>
  <c r="C29" i="6"/>
  <c r="D29" i="6"/>
  <c r="C27" i="2"/>
  <c r="G28" i="2"/>
  <c r="D28" i="2" s="1"/>
  <c r="AS21" i="3"/>
  <c r="AG12" i="4"/>
  <c r="AG18" i="4"/>
  <c r="AS15" i="3"/>
  <c r="AO29" i="6"/>
  <c r="AR10" i="7"/>
  <c r="B10" i="7" s="1"/>
  <c r="AR9" i="7"/>
  <c r="B9" i="7" s="1"/>
  <c r="AS59" i="2"/>
  <c r="AR25" i="7"/>
  <c r="AR11" i="7" s="1"/>
  <c r="E31" i="1" l="1"/>
  <c r="AT12" i="7"/>
  <c r="AT13" i="7" s="1"/>
  <c r="AU12" i="7"/>
  <c r="AU13" i="7" s="1"/>
  <c r="C13" i="7" s="1"/>
  <c r="AS65" i="2"/>
  <c r="AS67" i="2" s="1"/>
  <c r="AU26" i="7" s="1"/>
  <c r="C27" i="7"/>
  <c r="C26" i="7"/>
  <c r="C12" i="7"/>
  <c r="G33" i="1"/>
  <c r="C32" i="1"/>
  <c r="D32" i="1"/>
  <c r="G29" i="2"/>
  <c r="D29" i="2" s="1"/>
  <c r="C28" i="2"/>
  <c r="AR35" i="5"/>
  <c r="AQ11" i="7"/>
  <c r="AM9" i="7"/>
  <c r="AM10" i="7"/>
  <c r="AM12" i="7"/>
  <c r="AR17" i="3"/>
  <c r="C17" i="3" s="1"/>
  <c r="E17" i="3" s="1"/>
  <c r="AR19" i="3"/>
  <c r="C19" i="3" s="1"/>
  <c r="E19" i="3" s="1"/>
  <c r="AR44" i="3"/>
  <c r="C52" i="2"/>
  <c r="E52" i="2" s="1"/>
  <c r="AR45" i="2"/>
  <c r="C45" i="2" s="1"/>
  <c r="E45" i="2" s="1"/>
  <c r="E63" i="2"/>
  <c r="E61" i="2"/>
  <c r="E23" i="2"/>
  <c r="AP20" i="6"/>
  <c r="AP24" i="6"/>
  <c r="AR20" i="6"/>
  <c r="C20" i="6" s="1"/>
  <c r="AR24" i="6"/>
  <c r="C24" i="6" s="1"/>
  <c r="A7" i="6"/>
  <c r="A8" i="6" s="1"/>
  <c r="A9" i="6" s="1"/>
  <c r="AR11" i="5"/>
  <c r="AR31" i="5"/>
  <c r="AR13" i="5"/>
  <c r="AQ25" i="7"/>
  <c r="AF15" i="4"/>
  <c r="C15" i="4" s="1"/>
  <c r="AF14" i="4"/>
  <c r="C14" i="4" s="1"/>
  <c r="C10" i="4"/>
  <c r="C9" i="4"/>
  <c r="AF37" i="4"/>
  <c r="C37" i="4" s="1"/>
  <c r="AF31" i="4"/>
  <c r="C31" i="4" s="1"/>
  <c r="C9" i="3"/>
  <c r="E9" i="3" s="1"/>
  <c r="C10" i="3"/>
  <c r="E10" i="3" s="1"/>
  <c r="C11" i="3"/>
  <c r="C12" i="3"/>
  <c r="E12" i="3" s="1"/>
  <c r="C13" i="3"/>
  <c r="AR38" i="3"/>
  <c r="C38" i="3" s="1"/>
  <c r="AQ38" i="3"/>
  <c r="AQ15" i="3"/>
  <c r="AQ31" i="2"/>
  <c r="AQ33" i="2" s="1"/>
  <c r="AS12" i="7" s="1"/>
  <c r="AS13" i="7" s="1"/>
  <c r="AQ52" i="2"/>
  <c r="AQ45" i="2"/>
  <c r="AP45" i="2"/>
  <c r="C17" i="2"/>
  <c r="AQ17" i="2"/>
  <c r="AR10" i="2"/>
  <c r="C10" i="2" s="1"/>
  <c r="AQ10" i="2"/>
  <c r="AF37" i="1"/>
  <c r="AE37" i="1"/>
  <c r="AD37" i="1"/>
  <c r="AF13" i="1"/>
  <c r="C13" i="1" s="1"/>
  <c r="AF9" i="1"/>
  <c r="C9" i="1" s="1"/>
  <c r="AE13" i="1"/>
  <c r="AE21" i="1" s="1"/>
  <c r="AD13" i="1"/>
  <c r="C51" i="6"/>
  <c r="AR46" i="6"/>
  <c r="C46" i="6" s="1"/>
  <c r="AR9" i="6"/>
  <c r="AQ9" i="6"/>
  <c r="AE18" i="4"/>
  <c r="AQ33" i="5"/>
  <c r="AQ14" i="5"/>
  <c r="AQ18" i="5" s="1"/>
  <c r="AQ37" i="5" s="1"/>
  <c r="AP25" i="7"/>
  <c r="AP27" i="7" s="1"/>
  <c r="AP11" i="7"/>
  <c r="AP13" i="7" s="1"/>
  <c r="AQ29" i="6"/>
  <c r="AE37" i="4"/>
  <c r="AE31" i="4"/>
  <c r="AE12" i="4"/>
  <c r="AQ51" i="6"/>
  <c r="AL15" i="2"/>
  <c r="AM10" i="2"/>
  <c r="AO10" i="2"/>
  <c r="AP10" i="2"/>
  <c r="AL10" i="2"/>
  <c r="AP38" i="3"/>
  <c r="AP33" i="5"/>
  <c r="AP37" i="5" s="1"/>
  <c r="AP14" i="5"/>
  <c r="AP18" i="5" s="1"/>
  <c r="AO25" i="7"/>
  <c r="AO11" i="7"/>
  <c r="AO13" i="7" s="1"/>
  <c r="AD37" i="4"/>
  <c r="AD31" i="4"/>
  <c r="AD12" i="4"/>
  <c r="AD18" i="4"/>
  <c r="AP52" i="2"/>
  <c r="AP31" i="2"/>
  <c r="AP33" i="2" s="1"/>
  <c r="AP17" i="2"/>
  <c r="AD9" i="1"/>
  <c r="AP51" i="6"/>
  <c r="AP46" i="6"/>
  <c r="AP29" i="6"/>
  <c r="AO33" i="5"/>
  <c r="AO37" i="5" s="1"/>
  <c r="AO14" i="5"/>
  <c r="AO18" i="5" s="1"/>
  <c r="AC37" i="4"/>
  <c r="AC31" i="4"/>
  <c r="AC18" i="4"/>
  <c r="AC12" i="4"/>
  <c r="AO47" i="3"/>
  <c r="AO21" i="3"/>
  <c r="AO23" i="3" s="1"/>
  <c r="AO19" i="3"/>
  <c r="AO9" i="3"/>
  <c r="AO10" i="3"/>
  <c r="AO11" i="3"/>
  <c r="AO13" i="3"/>
  <c r="AO38" i="3"/>
  <c r="AO52" i="2"/>
  <c r="AO45" i="2"/>
  <c r="AO31" i="2"/>
  <c r="AO33" i="2" s="1"/>
  <c r="AO17" i="2"/>
  <c r="AC37" i="1"/>
  <c r="AC13" i="1"/>
  <c r="AC9" i="1"/>
  <c r="AO51" i="6"/>
  <c r="AO46" i="6"/>
  <c r="AO39" i="6"/>
  <c r="AO24" i="6"/>
  <c r="AO20" i="6"/>
  <c r="AO9" i="6"/>
  <c r="AM25" i="7"/>
  <c r="AM27" i="7" s="1"/>
  <c r="AB16" i="4"/>
  <c r="AB15" i="4"/>
  <c r="AB14" i="4"/>
  <c r="AB10" i="4"/>
  <c r="AB9" i="4"/>
  <c r="AB31" i="4"/>
  <c r="AB37" i="4"/>
  <c r="AN47" i="3"/>
  <c r="AN21" i="3"/>
  <c r="AN23" i="3" s="1"/>
  <c r="AN19" i="3"/>
  <c r="AN17" i="3"/>
  <c r="AM17" i="3"/>
  <c r="AN38" i="3"/>
  <c r="AN13" i="3"/>
  <c r="AN11" i="3"/>
  <c r="AN10" i="3"/>
  <c r="AN9" i="3"/>
  <c r="AN52" i="2"/>
  <c r="AN45" i="2"/>
  <c r="AN31" i="2"/>
  <c r="AN17" i="2"/>
  <c r="AB37" i="1"/>
  <c r="AB13" i="1"/>
  <c r="AB9" i="1"/>
  <c r="AN51" i="6"/>
  <c r="AN46" i="6"/>
  <c r="AN39" i="6"/>
  <c r="AN29" i="6"/>
  <c r="AM29" i="6"/>
  <c r="AN20" i="6"/>
  <c r="AM20" i="6"/>
  <c r="AN24" i="6"/>
  <c r="AN9" i="6"/>
  <c r="AM13" i="3"/>
  <c r="AM35" i="5"/>
  <c r="AM16" i="5" s="1"/>
  <c r="AM31" i="5"/>
  <c r="AM12" i="5" s="1"/>
  <c r="AM32" i="5"/>
  <c r="AM13" i="5" s="1"/>
  <c r="AM30" i="5"/>
  <c r="AM11" i="5" s="1"/>
  <c r="AL12" i="7"/>
  <c r="AL10" i="7"/>
  <c r="AL9" i="7"/>
  <c r="AL25" i="7"/>
  <c r="AL27" i="7" s="1"/>
  <c r="AA16" i="4"/>
  <c r="AA15" i="4"/>
  <c r="AA14" i="4"/>
  <c r="AA10" i="4"/>
  <c r="AA9" i="4"/>
  <c r="AA37" i="4"/>
  <c r="AA31" i="4"/>
  <c r="AM19" i="3"/>
  <c r="AM11" i="3"/>
  <c r="AM10" i="3"/>
  <c r="AM9" i="3"/>
  <c r="AM44" i="3"/>
  <c r="AM21" i="3" s="1"/>
  <c r="AM38" i="3"/>
  <c r="AK9" i="3"/>
  <c r="AK10" i="3"/>
  <c r="AK11" i="3"/>
  <c r="AK13" i="3"/>
  <c r="AL9" i="3"/>
  <c r="AL10" i="3"/>
  <c r="AL11" i="3"/>
  <c r="AL13" i="3"/>
  <c r="AI28" i="2"/>
  <c r="AI18" i="2"/>
  <c r="AI23" i="2"/>
  <c r="AM27" i="2"/>
  <c r="AM17" i="2"/>
  <c r="AM52" i="2"/>
  <c r="AM45" i="2"/>
  <c r="AA37" i="1"/>
  <c r="AA13" i="1"/>
  <c r="AA9" i="1"/>
  <c r="AM51" i="6"/>
  <c r="AM46" i="6"/>
  <c r="AM39" i="6"/>
  <c r="AM24" i="6"/>
  <c r="AM9" i="6"/>
  <c r="AK10" i="7"/>
  <c r="AL16" i="5"/>
  <c r="AL13" i="5"/>
  <c r="AL12" i="5"/>
  <c r="AL11" i="5"/>
  <c r="AL33" i="5"/>
  <c r="AK9" i="7"/>
  <c r="Z37" i="4"/>
  <c r="Z16" i="4"/>
  <c r="Z9" i="4"/>
  <c r="AL19" i="3"/>
  <c r="AL17" i="3"/>
  <c r="AL29" i="2"/>
  <c r="AL28" i="2"/>
  <c r="AL27" i="2"/>
  <c r="AK25" i="7"/>
  <c r="AK11" i="7" s="1"/>
  <c r="E35" i="4"/>
  <c r="Z15" i="4"/>
  <c r="Z14" i="4"/>
  <c r="Z10" i="4"/>
  <c r="Z31" i="4"/>
  <c r="AL44" i="3"/>
  <c r="AL46" i="3" s="1"/>
  <c r="AL38" i="3"/>
  <c r="AH33" i="2"/>
  <c r="AG29" i="2"/>
  <c r="AG28" i="2"/>
  <c r="AG27" i="2"/>
  <c r="AH29" i="2"/>
  <c r="AH28" i="2"/>
  <c r="AH27" i="2"/>
  <c r="AG23" i="2"/>
  <c r="AG20" i="2"/>
  <c r="AG19" i="2"/>
  <c r="AG18" i="2"/>
  <c r="AH23" i="2"/>
  <c r="AH21" i="2"/>
  <c r="AH20" i="2"/>
  <c r="AH19" i="2"/>
  <c r="AH18" i="2"/>
  <c r="AK29" i="2"/>
  <c r="AK28" i="2"/>
  <c r="AK27" i="2"/>
  <c r="AK23" i="2"/>
  <c r="AK21" i="2"/>
  <c r="AK20" i="2"/>
  <c r="AK19" i="2"/>
  <c r="AK18" i="2"/>
  <c r="AL52" i="2"/>
  <c r="AL45" i="2"/>
  <c r="Z37" i="1"/>
  <c r="Z13" i="1"/>
  <c r="Z9" i="1"/>
  <c r="AL51" i="6"/>
  <c r="AL46" i="6"/>
  <c r="AL39" i="6"/>
  <c r="AL29" i="6"/>
  <c r="AL24" i="6"/>
  <c r="AL20" i="6"/>
  <c r="AL9" i="6"/>
  <c r="AL17" i="2"/>
  <c r="AJ10" i="7"/>
  <c r="AJ9" i="7"/>
  <c r="AK16" i="5"/>
  <c r="AK13" i="5"/>
  <c r="AK12" i="5"/>
  <c r="AK11" i="5"/>
  <c r="AK33" i="5"/>
  <c r="AK37" i="5" s="1"/>
  <c r="AJ9" i="5"/>
  <c r="AJ25" i="7"/>
  <c r="AJ27" i="7" s="1"/>
  <c r="Y16" i="4"/>
  <c r="Y15" i="4"/>
  <c r="Y14" i="4"/>
  <c r="Y10" i="4"/>
  <c r="Y9" i="4"/>
  <c r="Y37" i="4"/>
  <c r="Y31" i="4"/>
  <c r="AK19" i="3"/>
  <c r="AG15" i="3"/>
  <c r="AK17" i="3"/>
  <c r="AK44" i="3"/>
  <c r="AK47" i="3" s="1"/>
  <c r="AK38" i="3"/>
  <c r="AG17" i="3"/>
  <c r="AG21" i="3" s="1"/>
  <c r="AK15" i="2"/>
  <c r="AK14" i="2"/>
  <c r="AK13" i="2"/>
  <c r="AK12" i="2"/>
  <c r="AK11" i="2"/>
  <c r="AK52" i="2"/>
  <c r="AK45" i="2"/>
  <c r="Y37" i="1"/>
  <c r="Y13" i="1"/>
  <c r="Y9" i="1"/>
  <c r="AK51" i="6"/>
  <c r="AH46" i="6"/>
  <c r="AI46" i="6"/>
  <c r="AJ46" i="6"/>
  <c r="AK46" i="6"/>
  <c r="AH39" i="6"/>
  <c r="AI39" i="6"/>
  <c r="AJ39" i="6"/>
  <c r="AK39" i="6"/>
  <c r="AK24" i="6"/>
  <c r="AK29" i="6"/>
  <c r="AH24" i="6"/>
  <c r="AI24" i="6"/>
  <c r="AJ24" i="6"/>
  <c r="AH20" i="6"/>
  <c r="AI20" i="6"/>
  <c r="AJ20" i="6"/>
  <c r="AK20" i="6"/>
  <c r="AH9" i="6"/>
  <c r="AI9" i="6"/>
  <c r="AJ9" i="6"/>
  <c r="AK9" i="6"/>
  <c r="AI21" i="3"/>
  <c r="AI23" i="3"/>
  <c r="AI47" i="3"/>
  <c r="S47" i="3"/>
  <c r="T47" i="3"/>
  <c r="R47" i="3"/>
  <c r="Q47" i="3"/>
  <c r="AJ33" i="5"/>
  <c r="AJ37" i="5" s="1"/>
  <c r="AJ16" i="5"/>
  <c r="AJ13" i="5"/>
  <c r="AJ12" i="5"/>
  <c r="AJ11" i="5"/>
  <c r="AI12" i="7"/>
  <c r="AI10" i="7"/>
  <c r="AI9" i="7"/>
  <c r="X16" i="4"/>
  <c r="X15" i="4"/>
  <c r="X14" i="4"/>
  <c r="X10" i="4"/>
  <c r="X9" i="4"/>
  <c r="X37" i="4"/>
  <c r="X31" i="4"/>
  <c r="AJ19" i="3"/>
  <c r="AJ17" i="3"/>
  <c r="AJ13" i="3"/>
  <c r="AJ11" i="3"/>
  <c r="AJ10" i="3"/>
  <c r="AJ9" i="3"/>
  <c r="AJ44" i="3"/>
  <c r="AJ47" i="3" s="1"/>
  <c r="AJ46" i="3" s="1"/>
  <c r="AJ23" i="3" s="1"/>
  <c r="AJ38" i="3"/>
  <c r="AJ29" i="2"/>
  <c r="AJ28" i="2"/>
  <c r="AJ27" i="2"/>
  <c r="AJ22" i="2"/>
  <c r="AJ23" i="2"/>
  <c r="AJ20" i="2"/>
  <c r="AJ19" i="2"/>
  <c r="AJ18" i="2"/>
  <c r="AJ15" i="2"/>
  <c r="AJ13" i="2"/>
  <c r="AJ12" i="2"/>
  <c r="AJ11" i="2"/>
  <c r="AJ52" i="2"/>
  <c r="AJ45" i="2"/>
  <c r="U37" i="1"/>
  <c r="V37" i="1"/>
  <c r="W37" i="1"/>
  <c r="X37" i="1"/>
  <c r="U13" i="1"/>
  <c r="V13" i="1"/>
  <c r="W13" i="1"/>
  <c r="X13" i="1"/>
  <c r="X9" i="1"/>
  <c r="AJ51" i="6"/>
  <c r="AJ29" i="6"/>
  <c r="AB52" i="2"/>
  <c r="AB21" i="2"/>
  <c r="AB23" i="2"/>
  <c r="AB20" i="2"/>
  <c r="AB19" i="2"/>
  <c r="AB18" i="2"/>
  <c r="AB15" i="2"/>
  <c r="AB13" i="2"/>
  <c r="AB12" i="2"/>
  <c r="AB11" i="2"/>
  <c r="AD20" i="2"/>
  <c r="AD19" i="2"/>
  <c r="AD23" i="2"/>
  <c r="AD18" i="2"/>
  <c r="AE9" i="5"/>
  <c r="J9" i="5"/>
  <c r="K9" i="5"/>
  <c r="L9" i="5"/>
  <c r="M9" i="5"/>
  <c r="N9" i="5"/>
  <c r="O9" i="5"/>
  <c r="P9" i="5"/>
  <c r="Q9" i="5"/>
  <c r="R9" i="5"/>
  <c r="S9" i="5"/>
  <c r="T9" i="5"/>
  <c r="U9" i="5"/>
  <c r="AE9" i="3"/>
  <c r="AI11" i="2"/>
  <c r="AI16" i="5"/>
  <c r="AI13" i="5"/>
  <c r="AI12" i="5"/>
  <c r="AI11" i="5"/>
  <c r="AI33" i="5"/>
  <c r="AH10" i="7"/>
  <c r="AH9" i="7"/>
  <c r="W37" i="4"/>
  <c r="W16" i="4"/>
  <c r="W15" i="4"/>
  <c r="W14" i="4"/>
  <c r="W10" i="4"/>
  <c r="W9" i="4"/>
  <c r="W31" i="4"/>
  <c r="AI17" i="3"/>
  <c r="AI10" i="3"/>
  <c r="AI13" i="3"/>
  <c r="AI11" i="3"/>
  <c r="AI9" i="3"/>
  <c r="AI38" i="3"/>
  <c r="AH17" i="3"/>
  <c r="AH21" i="3" s="1"/>
  <c r="AI33" i="2"/>
  <c r="AI29" i="2"/>
  <c r="AI27" i="2"/>
  <c r="AI20" i="2"/>
  <c r="AI19" i="2"/>
  <c r="AI15" i="2"/>
  <c r="AI13" i="2"/>
  <c r="AI12" i="2"/>
  <c r="AI52" i="2"/>
  <c r="AI45" i="2"/>
  <c r="W9" i="1"/>
  <c r="AI51" i="6"/>
  <c r="AI29" i="6"/>
  <c r="AH12" i="5"/>
  <c r="AH11" i="5"/>
  <c r="AH16" i="5"/>
  <c r="AH13" i="5"/>
  <c r="AH33" i="5"/>
  <c r="AG10" i="7"/>
  <c r="AG9" i="7"/>
  <c r="AG25" i="7"/>
  <c r="V16" i="4"/>
  <c r="V15" i="4"/>
  <c r="V14" i="4"/>
  <c r="V10" i="4"/>
  <c r="V9" i="4"/>
  <c r="V37" i="4"/>
  <c r="V31" i="4"/>
  <c r="AH46" i="3"/>
  <c r="AH13" i="3"/>
  <c r="AH11" i="3"/>
  <c r="AH10" i="3"/>
  <c r="AH9" i="3"/>
  <c r="AH38" i="3"/>
  <c r="AH15" i="2"/>
  <c r="AH13" i="2"/>
  <c r="AH12" i="2"/>
  <c r="AH11" i="2"/>
  <c r="AH52" i="2"/>
  <c r="AH45"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AG39" i="6"/>
  <c r="AG16" i="5"/>
  <c r="AG13" i="5"/>
  <c r="AG12" i="5"/>
  <c r="AG11" i="5"/>
  <c r="AG33" i="5"/>
  <c r="AF10" i="7"/>
  <c r="AF9" i="7"/>
  <c r="AF25" i="7"/>
  <c r="AF27" i="7" s="1"/>
  <c r="U16" i="4"/>
  <c r="U15" i="4"/>
  <c r="U14" i="4"/>
  <c r="U10" i="4"/>
  <c r="U9" i="4"/>
  <c r="U37" i="4"/>
  <c r="U31" i="4"/>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R37" i="1"/>
  <c r="S37" i="1"/>
  <c r="T37" i="1"/>
  <c r="R13" i="1"/>
  <c r="S13" i="1"/>
  <c r="T13" i="1"/>
  <c r="R9" i="1"/>
  <c r="S9" i="1"/>
  <c r="T9" i="1"/>
  <c r="U9" i="1"/>
  <c r="AD51" i="6"/>
  <c r="AE51" i="6"/>
  <c r="AF51" i="6"/>
  <c r="AG51" i="6"/>
  <c r="AD46" i="6"/>
  <c r="AE46" i="6"/>
  <c r="AF46" i="6"/>
  <c r="AG46" i="6"/>
  <c r="AG29" i="6"/>
  <c r="AG24" i="6"/>
  <c r="AG20" i="6"/>
  <c r="AG9" i="6"/>
  <c r="P9" i="1"/>
  <c r="AE25" i="7"/>
  <c r="AE11" i="7"/>
  <c r="U25" i="7"/>
  <c r="AD25" i="7"/>
  <c r="AF33" i="5"/>
  <c r="AF37" i="5" s="1"/>
  <c r="AG28" i="5" s="1"/>
  <c r="T37" i="4"/>
  <c r="T31" i="4"/>
  <c r="AF52" i="2"/>
  <c r="T12" i="4"/>
  <c r="AF15" i="3"/>
  <c r="AF14" i="5"/>
  <c r="AF18" i="5" s="1"/>
  <c r="T18" i="4"/>
  <c r="AF45" i="2"/>
  <c r="AF39" i="6"/>
  <c r="AF20" i="6"/>
  <c r="AF29" i="6"/>
  <c r="AF24" i="6"/>
  <c r="AF9" i="6"/>
  <c r="U29" i="6"/>
  <c r="AE17" i="3"/>
  <c r="AE21" i="3" s="1"/>
  <c r="O10" i="1"/>
  <c r="O9" i="1" s="1"/>
  <c r="AE16" i="5"/>
  <c r="AE13" i="5"/>
  <c r="AE33" i="5"/>
  <c r="AE37" i="5" s="1"/>
  <c r="AE12" i="5"/>
  <c r="AE11" i="5"/>
  <c r="AD10" i="7"/>
  <c r="AD9" i="7"/>
  <c r="S16" i="4"/>
  <c r="S15" i="4"/>
  <c r="S14" i="4"/>
  <c r="S10" i="4"/>
  <c r="S9" i="4"/>
  <c r="S37" i="4"/>
  <c r="S31" i="4"/>
  <c r="AE13" i="3"/>
  <c r="AE11" i="3"/>
  <c r="AE10" i="3"/>
  <c r="AE52" i="2"/>
  <c r="AE45" i="2"/>
  <c r="AE39" i="6"/>
  <c r="AE29" i="6"/>
  <c r="AE24" i="6"/>
  <c r="AE20" i="6"/>
  <c r="AE9" i="6"/>
  <c r="AD14" i="5"/>
  <c r="AD33" i="5"/>
  <c r="AD37" i="5" s="1"/>
  <c r="AC25" i="7"/>
  <c r="R18" i="4"/>
  <c r="R12" i="4"/>
  <c r="R37" i="4"/>
  <c r="R31" i="4"/>
  <c r="AD52" i="2"/>
  <c r="AD45" i="2"/>
  <c r="Z9" i="6"/>
  <c r="AD39" i="6"/>
  <c r="AD29" i="6"/>
  <c r="AD24" i="6"/>
  <c r="AD20" i="6"/>
  <c r="AD9" i="6"/>
  <c r="Q37" i="1"/>
  <c r="P37" i="1"/>
  <c r="O37" i="1"/>
  <c r="N37" i="1"/>
  <c r="M37" i="1"/>
  <c r="L37" i="1"/>
  <c r="K37" i="1"/>
  <c r="J37" i="1"/>
  <c r="I37" i="1"/>
  <c r="Q13" i="1"/>
  <c r="P13" i="1"/>
  <c r="O13" i="1"/>
  <c r="N13" i="1"/>
  <c r="M13" i="1"/>
  <c r="L13" i="1"/>
  <c r="K13" i="1"/>
  <c r="J13" i="1"/>
  <c r="I13" i="1"/>
  <c r="Q9" i="1"/>
  <c r="N9" i="1"/>
  <c r="M9" i="1"/>
  <c r="L9" i="1"/>
  <c r="K9" i="1"/>
  <c r="J9" i="1"/>
  <c r="I9" i="1"/>
  <c r="AC46" i="6"/>
  <c r="AC16" i="5"/>
  <c r="AC13" i="5"/>
  <c r="AC12" i="5"/>
  <c r="AC11" i="5"/>
  <c r="AC33" i="5"/>
  <c r="AC37" i="5" s="1"/>
  <c r="AB9" i="7"/>
  <c r="AB10" i="7"/>
  <c r="AB25" i="7"/>
  <c r="AB11" i="7" s="1"/>
  <c r="Q16" i="4"/>
  <c r="Q15" i="4"/>
  <c r="Q14" i="4"/>
  <c r="Q10" i="4"/>
  <c r="Q9" i="4"/>
  <c r="Q31" i="4"/>
  <c r="Q37" i="4"/>
  <c r="AC44" i="3"/>
  <c r="AC46" i="3" s="1"/>
  <c r="AC38" i="3"/>
  <c r="AC52" i="2"/>
  <c r="AC45" i="2"/>
  <c r="AC51" i="6"/>
  <c r="AC39" i="6"/>
  <c r="AC29" i="6"/>
  <c r="AC24" i="6"/>
  <c r="AC20" i="6"/>
  <c r="AC9" i="6"/>
  <c r="AA10" i="7"/>
  <c r="AA9" i="7"/>
  <c r="AA27" i="7"/>
  <c r="AB16" i="5"/>
  <c r="AB13" i="5"/>
  <c r="AB12" i="5"/>
  <c r="AB11" i="5"/>
  <c r="AB33" i="5"/>
  <c r="AA29" i="6"/>
  <c r="P16" i="4"/>
  <c r="P15" i="4"/>
  <c r="P14" i="4"/>
  <c r="P10" i="4"/>
  <c r="P9" i="4"/>
  <c r="AB19" i="3"/>
  <c r="AB12" i="3"/>
  <c r="AB11" i="3"/>
  <c r="AB10" i="3"/>
  <c r="AB9" i="3"/>
  <c r="AB29" i="2"/>
  <c r="AB28" i="2"/>
  <c r="AB27" i="2"/>
  <c r="P31" i="4"/>
  <c r="AB38" i="3"/>
  <c r="AA51" i="6"/>
  <c r="Z29" i="6"/>
  <c r="P37" i="4"/>
  <c r="AB45" i="2"/>
  <c r="AB46" i="6"/>
  <c r="AB51" i="6"/>
  <c r="AB39" i="6"/>
  <c r="AB29" i="6"/>
  <c r="AB24" i="6"/>
  <c r="AB20" i="6"/>
  <c r="AB9" i="6"/>
  <c r="M18" i="4"/>
  <c r="M12" i="4"/>
  <c r="M37" i="4"/>
  <c r="M31" i="4"/>
  <c r="AA14" i="5"/>
  <c r="Z11" i="7"/>
  <c r="Z25" i="7"/>
  <c r="O37" i="4"/>
  <c r="O31" i="4"/>
  <c r="O18" i="4"/>
  <c r="O12" i="4"/>
  <c r="AA38" i="3"/>
  <c r="AA15" i="3"/>
  <c r="AA52" i="2"/>
  <c r="AA45" i="2"/>
  <c r="AA17" i="2"/>
  <c r="AA10" i="2"/>
  <c r="AA46" i="6"/>
  <c r="AA39" i="6"/>
  <c r="AA9" i="6"/>
  <c r="AA24" i="6"/>
  <c r="AA20" i="6"/>
  <c r="AA17" i="6" s="1"/>
  <c r="Y25" i="7"/>
  <c r="Y11" i="7"/>
  <c r="Z14" i="5"/>
  <c r="Z38" i="3"/>
  <c r="Z15" i="3"/>
  <c r="Z52" i="2"/>
  <c r="Z45" i="2"/>
  <c r="Z17" i="2"/>
  <c r="Z10" i="2"/>
  <c r="Z51" i="6"/>
  <c r="Z46" i="6"/>
  <c r="Y46" i="6"/>
  <c r="X46" i="6"/>
  <c r="Z39" i="6"/>
  <c r="Z24" i="6"/>
  <c r="Z20" i="6"/>
  <c r="X25" i="7"/>
  <c r="X11" i="7"/>
  <c r="Q37" i="5"/>
  <c r="R37" i="5"/>
  <c r="S33" i="5"/>
  <c r="S37" i="5" s="1"/>
  <c r="T33" i="5"/>
  <c r="T37" i="5" s="1"/>
  <c r="U33" i="5"/>
  <c r="U37" i="5" s="1"/>
  <c r="V33" i="5"/>
  <c r="V37" i="5" s="1"/>
  <c r="W33" i="5"/>
  <c r="W37" i="5" s="1"/>
  <c r="X33" i="5"/>
  <c r="X37" i="5" s="1"/>
  <c r="Y28" i="5" s="1"/>
  <c r="Y33" i="5"/>
  <c r="R14" i="5"/>
  <c r="S14" i="5"/>
  <c r="T14" i="5"/>
  <c r="U14" i="5"/>
  <c r="V14" i="5"/>
  <c r="W14" i="5"/>
  <c r="X14" i="5"/>
  <c r="Y14" i="5"/>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J24" i="6"/>
  <c r="K24" i="6"/>
  <c r="L24" i="6"/>
  <c r="M24" i="6"/>
  <c r="N24" i="6"/>
  <c r="O24" i="6"/>
  <c r="P24" i="6"/>
  <c r="Q24" i="6"/>
  <c r="R24" i="6"/>
  <c r="S24" i="6"/>
  <c r="T24" i="6"/>
  <c r="U24" i="6"/>
  <c r="V24" i="6"/>
  <c r="W24" i="6"/>
  <c r="X24" i="6"/>
  <c r="Y24" i="6"/>
  <c r="I24" i="6"/>
  <c r="J20" i="6"/>
  <c r="K20" i="6"/>
  <c r="L20" i="6"/>
  <c r="M20" i="6"/>
  <c r="N20" i="6"/>
  <c r="O20" i="6"/>
  <c r="P20" i="6"/>
  <c r="Q20" i="6"/>
  <c r="R20" i="6"/>
  <c r="S20" i="6"/>
  <c r="T20" i="6"/>
  <c r="U20" i="6"/>
  <c r="V20" i="6"/>
  <c r="W20" i="6"/>
  <c r="X20" i="6"/>
  <c r="Y20" i="6"/>
  <c r="I20" i="6"/>
  <c r="N12" i="4"/>
  <c r="N18" i="4"/>
  <c r="N31" i="4"/>
  <c r="N37" i="4"/>
  <c r="Y39" i="6"/>
  <c r="Y9" i="6"/>
  <c r="Y29" i="6"/>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L31" i="4"/>
  <c r="AL17" i="6" l="1"/>
  <c r="AU27" i="7"/>
  <c r="AL28" i="5"/>
  <c r="AL37" i="5" s="1"/>
  <c r="AM28" i="5" s="1"/>
  <c r="AK18" i="5"/>
  <c r="AE17" i="6"/>
  <c r="Y21" i="1"/>
  <c r="AR47" i="3"/>
  <c r="C47" i="3" s="1"/>
  <c r="E47" i="3" s="1"/>
  <c r="C44" i="3"/>
  <c r="E44" i="3" s="1"/>
  <c r="AQ27" i="7"/>
  <c r="B25" i="7"/>
  <c r="AQ13" i="7"/>
  <c r="B13" i="7" s="1"/>
  <c r="B11" i="7"/>
  <c r="V17" i="6"/>
  <c r="AC17" i="6"/>
  <c r="G34" i="1"/>
  <c r="C33" i="1"/>
  <c r="D33" i="1"/>
  <c r="AJ21" i="3"/>
  <c r="G30" i="2"/>
  <c r="C29" i="2"/>
  <c r="E29" i="2" s="1"/>
  <c r="AP17" i="6"/>
  <c r="Z25" i="2"/>
  <c r="Z31" i="2" s="1"/>
  <c r="Z33" i="2" s="1"/>
  <c r="AL14" i="5"/>
  <c r="U18" i="5"/>
  <c r="V9" i="5" s="1"/>
  <c r="V18" i="5" s="1"/>
  <c r="W9" i="5" s="1"/>
  <c r="W18" i="5" s="1"/>
  <c r="X9" i="5" s="1"/>
  <c r="X18" i="5" s="1"/>
  <c r="Y9" i="5" s="1"/>
  <c r="Y18" i="5" s="1"/>
  <c r="Z9" i="5" s="1"/>
  <c r="Z18" i="5" s="1"/>
  <c r="AA9" i="5" s="1"/>
  <c r="AA18" i="5" s="1"/>
  <c r="AB9" i="5" s="1"/>
  <c r="AJ17" i="6"/>
  <c r="V25" i="2"/>
  <c r="V31" i="2" s="1"/>
  <c r="V33" i="2" s="1"/>
  <c r="AD17" i="2"/>
  <c r="AD25" i="2" s="1"/>
  <c r="AD31" i="2" s="1"/>
  <c r="AD33" i="2" s="1"/>
  <c r="U21" i="1"/>
  <c r="U29" i="1" s="1"/>
  <c r="X18" i="4"/>
  <c r="S18" i="4"/>
  <c r="C15" i="3"/>
  <c r="AB15" i="3"/>
  <c r="P25" i="2"/>
  <c r="P31" i="2" s="1"/>
  <c r="P33" i="2" s="1"/>
  <c r="Z12" i="4"/>
  <c r="J25" i="2"/>
  <c r="J31" i="2" s="1"/>
  <c r="J33" i="2" s="1"/>
  <c r="U12" i="4"/>
  <c r="K17" i="6"/>
  <c r="AA18" i="4"/>
  <c r="O25" i="2"/>
  <c r="O31" i="2" s="1"/>
  <c r="O33" i="2" s="1"/>
  <c r="AF12" i="4"/>
  <c r="C12" i="4" s="1"/>
  <c r="E12" i="4" s="1"/>
  <c r="AI17" i="6"/>
  <c r="U25" i="2"/>
  <c r="U31" i="2" s="1"/>
  <c r="U33" i="2" s="1"/>
  <c r="Z59" i="2"/>
  <c r="Z65" i="2" s="1"/>
  <c r="Z67" i="2" s="1"/>
  <c r="AJ15" i="3"/>
  <c r="AF59" i="2"/>
  <c r="AF65" i="2" s="1"/>
  <c r="AF67" i="2" s="1"/>
  <c r="AC10" i="2"/>
  <c r="Q21" i="1"/>
  <c r="Q27" i="1" s="1"/>
  <c r="Q39" i="1" s="1"/>
  <c r="Q43" i="1" s="1"/>
  <c r="Y12" i="4"/>
  <c r="AK59" i="2"/>
  <c r="AK65" i="2" s="1"/>
  <c r="AK67" i="2" s="1"/>
  <c r="AK33" i="2" s="1"/>
  <c r="L17" i="6"/>
  <c r="I25" i="2"/>
  <c r="I31" i="2" s="1"/>
  <c r="I33" i="2" s="1"/>
  <c r="P18" i="4"/>
  <c r="AH10" i="2"/>
  <c r="P12" i="4"/>
  <c r="AH15" i="3"/>
  <c r="Q17" i="6"/>
  <c r="N17" i="6"/>
  <c r="U18" i="4"/>
  <c r="V12" i="4"/>
  <c r="AF17" i="2"/>
  <c r="I17" i="6"/>
  <c r="S12" i="4"/>
  <c r="AL15" i="3"/>
  <c r="AB18" i="4"/>
  <c r="W17" i="6"/>
  <c r="M25" i="2"/>
  <c r="M31" i="2" s="1"/>
  <c r="M33" i="2" s="1"/>
  <c r="S59" i="2"/>
  <c r="S65" i="2" s="1"/>
  <c r="S67" i="2" s="1"/>
  <c r="AF21" i="1"/>
  <c r="X17" i="6"/>
  <c r="R59" i="2"/>
  <c r="R65" i="2" s="1"/>
  <c r="R67" i="2" s="1"/>
  <c r="P21" i="1"/>
  <c r="P27" i="1" s="1"/>
  <c r="P39" i="1" s="1"/>
  <c r="P43" i="1" s="1"/>
  <c r="R17" i="6"/>
  <c r="Q59" i="2"/>
  <c r="Q65" i="2" s="1"/>
  <c r="Q67" i="2" s="1"/>
  <c r="AR59" i="2"/>
  <c r="AR65" i="2" s="1"/>
  <c r="AR67" i="2" s="1"/>
  <c r="AL59" i="2"/>
  <c r="AL65" i="2" s="1"/>
  <c r="AL67" i="2" s="1"/>
  <c r="AF17" i="6"/>
  <c r="AE25" i="2"/>
  <c r="AE31" i="2" s="1"/>
  <c r="AE33" i="2" s="1"/>
  <c r="AG10" i="2"/>
  <c r="X12" i="4"/>
  <c r="P17" i="6"/>
  <c r="Z17" i="6"/>
  <c r="AM15" i="3"/>
  <c r="AG17" i="2"/>
  <c r="W18" i="4"/>
  <c r="J17" i="6"/>
  <c r="O17" i="6"/>
  <c r="W59" i="2"/>
  <c r="W65" i="2" s="1"/>
  <c r="W67" i="2" s="1"/>
  <c r="S21" i="1"/>
  <c r="S27" i="1" s="1"/>
  <c r="S39" i="1" s="1"/>
  <c r="S43" i="1" s="1"/>
  <c r="AB59" i="2"/>
  <c r="AB65" i="2" s="1"/>
  <c r="AB67" i="2" s="1"/>
  <c r="AL47" i="3"/>
  <c r="AL11" i="7"/>
  <c r="AM25" i="2"/>
  <c r="AM31" i="2" s="1"/>
  <c r="L25" i="2"/>
  <c r="L31" i="2" s="1"/>
  <c r="L33" i="2" s="1"/>
  <c r="AA25" i="2"/>
  <c r="AA31" i="2" s="1"/>
  <c r="AA33" i="2" s="1"/>
  <c r="AB12" i="4"/>
  <c r="K25" i="2"/>
  <c r="K31" i="2" s="1"/>
  <c r="K33" i="2" s="1"/>
  <c r="X59" i="2"/>
  <c r="X65" i="2" s="1"/>
  <c r="X67" i="2" s="1"/>
  <c r="AI59" i="2"/>
  <c r="AI65" i="2" s="1"/>
  <c r="AK17" i="6"/>
  <c r="AH17" i="2"/>
  <c r="W25" i="2"/>
  <c r="W31" i="2" s="1"/>
  <c r="W33" i="2" s="1"/>
  <c r="AP59" i="2"/>
  <c r="AP65" i="2" s="1"/>
  <c r="AP67" i="2" s="1"/>
  <c r="U17" i="6"/>
  <c r="Q12" i="4"/>
  <c r="AE59" i="2"/>
  <c r="AE65" i="2" s="1"/>
  <c r="AE67" i="2" s="1"/>
  <c r="AK15" i="3"/>
  <c r="Q18" i="4"/>
  <c r="AG17" i="6"/>
  <c r="AH17" i="6"/>
  <c r="AN15" i="3"/>
  <c r="AO17" i="6"/>
  <c r="AF10" i="2"/>
  <c r="X25" i="2"/>
  <c r="X31" i="2" s="1"/>
  <c r="X33" i="2" s="1"/>
  <c r="T25" i="2"/>
  <c r="T31" i="2" s="1"/>
  <c r="T33" i="2" s="1"/>
  <c r="AG59" i="2"/>
  <c r="AG65" i="2" s="1"/>
  <c r="AG67" i="2" s="1"/>
  <c r="AG33" i="2" s="1"/>
  <c r="AH11" i="7"/>
  <c r="S25" i="2"/>
  <c r="S31" i="2" s="1"/>
  <c r="S33" i="2" s="1"/>
  <c r="AA11" i="7"/>
  <c r="V18" i="4"/>
  <c r="AA21" i="1"/>
  <c r="AA27" i="1" s="1"/>
  <c r="AA39" i="1" s="1"/>
  <c r="AA43" i="1" s="1"/>
  <c r="AD59" i="2"/>
  <c r="AD65" i="2" s="1"/>
  <c r="AD67" i="2" s="1"/>
  <c r="AF18" i="4"/>
  <c r="C18" i="4" s="1"/>
  <c r="E18" i="4" s="1"/>
  <c r="AE15" i="3"/>
  <c r="AK21" i="3"/>
  <c r="AL25" i="2"/>
  <c r="AL31" i="2" s="1"/>
  <c r="AB10" i="2"/>
  <c r="AI17" i="2"/>
  <c r="T17" i="6"/>
  <c r="AB17" i="6"/>
  <c r="AC59" i="2"/>
  <c r="AC65" i="2" s="1"/>
  <c r="AC67" i="2" s="1"/>
  <c r="AB17" i="2"/>
  <c r="AB25" i="2" s="1"/>
  <c r="AB31" i="2" s="1"/>
  <c r="AB33" i="2" s="1"/>
  <c r="AJ11" i="7"/>
  <c r="AD21" i="1"/>
  <c r="AD27" i="1" s="1"/>
  <c r="AD39" i="1" s="1"/>
  <c r="AD43" i="1" s="1"/>
  <c r="AD11" i="7"/>
  <c r="D9" i="7"/>
  <c r="AA12" i="4"/>
  <c r="W12" i="4"/>
  <c r="Z18" i="4"/>
  <c r="Y18" i="4"/>
  <c r="E37" i="4"/>
  <c r="AO15" i="3"/>
  <c r="AI15" i="3"/>
  <c r="AL21" i="3"/>
  <c r="AC15" i="3"/>
  <c r="AR21" i="3"/>
  <c r="AC17" i="2"/>
  <c r="AA59" i="2"/>
  <c r="AA65" i="2" s="1"/>
  <c r="AA67" i="2" s="1"/>
  <c r="AK17" i="2"/>
  <c r="AM59" i="2"/>
  <c r="AM65" i="2" s="1"/>
  <c r="AM67" i="2" s="1"/>
  <c r="AM33" i="2" s="1"/>
  <c r="AN12" i="7" s="1"/>
  <c r="AJ10" i="2"/>
  <c r="V59" i="2"/>
  <c r="V65" i="2" s="1"/>
  <c r="V67" i="2" s="1"/>
  <c r="AK10" i="2"/>
  <c r="E53" i="2"/>
  <c r="Y25" i="2"/>
  <c r="Y31" i="2" s="1"/>
  <c r="Y33" i="2" s="1"/>
  <c r="R25" i="2"/>
  <c r="R31" i="2" s="1"/>
  <c r="R33" i="2" s="1"/>
  <c r="Q25" i="2"/>
  <c r="Q31" i="2" s="1"/>
  <c r="Q33" i="2" s="1"/>
  <c r="AJ17" i="2"/>
  <c r="U59" i="2"/>
  <c r="U65" i="2" s="1"/>
  <c r="U67" i="2" s="1"/>
  <c r="N25" i="2"/>
  <c r="N31" i="2" s="1"/>
  <c r="N33" i="2" s="1"/>
  <c r="T59" i="2"/>
  <c r="T65" i="2" s="1"/>
  <c r="T67" i="2" s="1"/>
  <c r="AH59" i="2"/>
  <c r="AH65" i="2" s="1"/>
  <c r="AO59" i="2"/>
  <c r="AO65" i="2" s="1"/>
  <c r="AO67" i="2" s="1"/>
  <c r="Y59" i="2"/>
  <c r="Y65" i="2" s="1"/>
  <c r="Y67" i="2" s="1"/>
  <c r="AQ59" i="2"/>
  <c r="AQ65" i="2" s="1"/>
  <c r="AQ67" i="2" s="1"/>
  <c r="AI10" i="2"/>
  <c r="AN59" i="2"/>
  <c r="AN65" i="2" s="1"/>
  <c r="AJ59" i="2"/>
  <c r="AJ65" i="2" s="1"/>
  <c r="AJ67" i="2" s="1"/>
  <c r="E9" i="1"/>
  <c r="O21" i="1"/>
  <c r="O29" i="1" s="1"/>
  <c r="AB21" i="1"/>
  <c r="AB27" i="1" s="1"/>
  <c r="AB39" i="1" s="1"/>
  <c r="E44" i="6"/>
  <c r="Y17" i="6"/>
  <c r="S17" i="6"/>
  <c r="M17" i="6"/>
  <c r="AD17" i="6"/>
  <c r="AM17" i="6"/>
  <c r="AN17" i="6"/>
  <c r="AR17" i="6"/>
  <c r="C17" i="6" s="1"/>
  <c r="AB40" i="3"/>
  <c r="AB17" i="3" s="1"/>
  <c r="AB21" i="3" s="1"/>
  <c r="AR46" i="3"/>
  <c r="E11" i="2"/>
  <c r="E28" i="2"/>
  <c r="E13" i="2"/>
  <c r="E18" i="2"/>
  <c r="E19" i="2"/>
  <c r="E20" i="2"/>
  <c r="E21" i="2"/>
  <c r="E22" i="2"/>
  <c r="E27" i="2"/>
  <c r="E28" i="4"/>
  <c r="E29" i="4"/>
  <c r="E31" i="4"/>
  <c r="E41" i="6"/>
  <c r="AN32" i="5"/>
  <c r="AN13" i="5" s="1"/>
  <c r="AI14" i="5"/>
  <c r="AB14" i="5"/>
  <c r="AR16" i="5"/>
  <c r="D23" i="7"/>
  <c r="E62" i="2"/>
  <c r="D24" i="7"/>
  <c r="AI25" i="7"/>
  <c r="AI27" i="7" s="1"/>
  <c r="AM11" i="7"/>
  <c r="AM13" i="7" s="1"/>
  <c r="AG11" i="7"/>
  <c r="AN11" i="7"/>
  <c r="AN25" i="7"/>
  <c r="AI11" i="7"/>
  <c r="AI13" i="7" s="1"/>
  <c r="AF11" i="7"/>
  <c r="E46" i="2"/>
  <c r="AR12" i="5"/>
  <c r="AH14" i="5"/>
  <c r="AR33" i="5"/>
  <c r="AR37" i="5" s="1"/>
  <c r="AS28" i="5" s="1"/>
  <c r="C28" i="5" s="1"/>
  <c r="AK14" i="5"/>
  <c r="AJ14" i="5"/>
  <c r="AJ18" i="5" s="1"/>
  <c r="AK9" i="5" s="1"/>
  <c r="AG14" i="5"/>
  <c r="AE14" i="5"/>
  <c r="AE18" i="5" s="1"/>
  <c r="AC14" i="5"/>
  <c r="AM14" i="5"/>
  <c r="Y37" i="5"/>
  <c r="Z28" i="5" s="1"/>
  <c r="Z37" i="5" s="1"/>
  <c r="AA28" i="5" s="1"/>
  <c r="AA37" i="5" s="1"/>
  <c r="AB28" i="5" s="1"/>
  <c r="AB37" i="5" s="1"/>
  <c r="AN35" i="5"/>
  <c r="AL9" i="5"/>
  <c r="AG9" i="5"/>
  <c r="AG37" i="5"/>
  <c r="AH28" i="5" s="1"/>
  <c r="AH37" i="5" s="1"/>
  <c r="AI28" i="5" s="1"/>
  <c r="AI37" i="5" s="1"/>
  <c r="AN31" i="5"/>
  <c r="AM33" i="5"/>
  <c r="AN30" i="5"/>
  <c r="E33" i="4"/>
  <c r="E16" i="4"/>
  <c r="E9" i="4"/>
  <c r="E14" i="4"/>
  <c r="E15" i="4"/>
  <c r="E34" i="4"/>
  <c r="E10" i="4"/>
  <c r="E10" i="2"/>
  <c r="E34" i="3"/>
  <c r="E12" i="2"/>
  <c r="E39" i="6"/>
  <c r="E24" i="1"/>
  <c r="E17" i="1"/>
  <c r="E18" i="1"/>
  <c r="E19" i="1"/>
  <c r="E23" i="1"/>
  <c r="AC21" i="1"/>
  <c r="AC29" i="1" s="1"/>
  <c r="K21" i="1"/>
  <c r="K29" i="1" s="1"/>
  <c r="X21" i="1"/>
  <c r="X29" i="1" s="1"/>
  <c r="E13" i="1"/>
  <c r="J21" i="1"/>
  <c r="J27" i="1" s="1"/>
  <c r="J39" i="1" s="1"/>
  <c r="J43" i="1" s="1"/>
  <c r="E10" i="1"/>
  <c r="E25" i="1"/>
  <c r="V21" i="1"/>
  <c r="V29" i="1" s="1"/>
  <c r="R21" i="1"/>
  <c r="R27" i="1" s="1"/>
  <c r="R39" i="1" s="1"/>
  <c r="R43" i="1" s="1"/>
  <c r="L21" i="1"/>
  <c r="L29" i="1" s="1"/>
  <c r="E14" i="1"/>
  <c r="E32" i="1"/>
  <c r="T21" i="1"/>
  <c r="T29" i="1" s="1"/>
  <c r="W21" i="1"/>
  <c r="W29" i="1" s="1"/>
  <c r="M21" i="1"/>
  <c r="M27" i="1" s="1"/>
  <c r="M39" i="1" s="1"/>
  <c r="M43" i="1" s="1"/>
  <c r="E15" i="1"/>
  <c r="I21" i="1"/>
  <c r="I27" i="1" s="1"/>
  <c r="I39" i="1" s="1"/>
  <c r="I43" i="1" s="1"/>
  <c r="N21" i="1"/>
  <c r="N27" i="1" s="1"/>
  <c r="N39" i="1" s="1"/>
  <c r="N43" i="1" s="1"/>
  <c r="E16" i="1"/>
  <c r="Z21" i="1"/>
  <c r="Z27" i="1" s="1"/>
  <c r="Z39" i="1" s="1"/>
  <c r="Z43" i="1" s="1"/>
  <c r="AE29" i="1"/>
  <c r="AE27" i="1"/>
  <c r="AE39" i="1" s="1"/>
  <c r="AE43" i="1" s="1"/>
  <c r="Y29" i="1"/>
  <c r="Y27" i="1"/>
  <c r="Y39" i="1" s="1"/>
  <c r="Y43" i="1" s="1"/>
  <c r="E46" i="6"/>
  <c r="A10" i="6"/>
  <c r="A11" i="6" s="1"/>
  <c r="C21" i="3" l="1"/>
  <c r="E21" i="3" s="1"/>
  <c r="AR23" i="3"/>
  <c r="AC25" i="2"/>
  <c r="AC31" i="2" s="1"/>
  <c r="AC33" i="2" s="1"/>
  <c r="E33" i="1"/>
  <c r="AR14" i="5"/>
  <c r="AR18" i="5" s="1"/>
  <c r="AS37" i="5"/>
  <c r="C37" i="5" s="1"/>
  <c r="D25" i="7"/>
  <c r="G35" i="1"/>
  <c r="C34" i="1"/>
  <c r="D34" i="1"/>
  <c r="C23" i="3"/>
  <c r="E23" i="3" s="1"/>
  <c r="C46" i="3"/>
  <c r="E46" i="3" s="1"/>
  <c r="C59" i="2"/>
  <c r="AF29" i="1"/>
  <c r="C29" i="1" s="1"/>
  <c r="E29" i="1" s="1"/>
  <c r="C21" i="1"/>
  <c r="E21" i="1" s="1"/>
  <c r="AL18" i="5"/>
  <c r="AM9" i="5" s="1"/>
  <c r="AM18" i="5" s="1"/>
  <c r="AN9" i="5" s="1"/>
  <c r="E9" i="5" s="1"/>
  <c r="G31" i="2"/>
  <c r="D31" i="2" s="1"/>
  <c r="U27" i="1"/>
  <c r="U39" i="1" s="1"/>
  <c r="U43" i="1" s="1"/>
  <c r="J29" i="1"/>
  <c r="AF25" i="2"/>
  <c r="AF31" i="2" s="1"/>
  <c r="AF33" i="2" s="1"/>
  <c r="AG12" i="7" s="1"/>
  <c r="AG25" i="2"/>
  <c r="AG31" i="2" s="1"/>
  <c r="U12" i="7"/>
  <c r="U13" i="7" s="1"/>
  <c r="AF27" i="1"/>
  <c r="Z26" i="7"/>
  <c r="Z27" i="7" s="1"/>
  <c r="Q29" i="1"/>
  <c r="P29" i="1"/>
  <c r="V12" i="7"/>
  <c r="V13" i="7" s="1"/>
  <c r="W12" i="7"/>
  <c r="W13" i="7" s="1"/>
  <c r="N12" i="7"/>
  <c r="N13" i="7" s="1"/>
  <c r="AK26" i="7"/>
  <c r="AK12" i="7" s="1"/>
  <c r="AK13" i="7" s="1"/>
  <c r="M12" i="7"/>
  <c r="M13" i="7" s="1"/>
  <c r="AB26" i="7"/>
  <c r="AB27" i="7" s="1"/>
  <c r="AI25" i="2"/>
  <c r="AI31" i="2" s="1"/>
  <c r="S29" i="1"/>
  <c r="AH25" i="2"/>
  <c r="AH31" i="2" s="1"/>
  <c r="AB12" i="7"/>
  <c r="AB13" i="7" s="1"/>
  <c r="X26" i="7"/>
  <c r="X27" i="7" s="1"/>
  <c r="Z12" i="7"/>
  <c r="Z13" i="7" s="1"/>
  <c r="AE26" i="7"/>
  <c r="AE27" i="7" s="1"/>
  <c r="AD29" i="1"/>
  <c r="AG26" i="7"/>
  <c r="AG27" i="7" s="1"/>
  <c r="O12" i="7"/>
  <c r="O13" i="7" s="1"/>
  <c r="O27" i="1"/>
  <c r="O39" i="1" s="1"/>
  <c r="O43" i="1" s="1"/>
  <c r="T26" i="7"/>
  <c r="T27" i="7" s="1"/>
  <c r="V26" i="7"/>
  <c r="V27" i="7" s="1"/>
  <c r="AA12" i="7"/>
  <c r="AA13" i="7" s="1"/>
  <c r="AD26" i="7"/>
  <c r="AD27" i="7" s="1"/>
  <c r="AJ25" i="2"/>
  <c r="AJ31" i="2" s="1"/>
  <c r="AJ33" i="2" s="1"/>
  <c r="AJ12" i="7" s="1"/>
  <c r="AJ13" i="7" s="1"/>
  <c r="K27" i="1"/>
  <c r="K39" i="1" s="1"/>
  <c r="K43" i="1" s="1"/>
  <c r="S26" i="7"/>
  <c r="S27" i="7" s="1"/>
  <c r="AC26" i="7"/>
  <c r="AC27" i="7" s="1"/>
  <c r="L12" i="7"/>
  <c r="L13" i="7" s="1"/>
  <c r="Y26" i="7"/>
  <c r="Y27" i="7" s="1"/>
  <c r="Q12" i="7"/>
  <c r="Q13" i="7" s="1"/>
  <c r="U26" i="7"/>
  <c r="U27" i="7" s="1"/>
  <c r="K12" i="7"/>
  <c r="K13" i="7" s="1"/>
  <c r="AH26" i="7"/>
  <c r="AH27" i="7" s="1"/>
  <c r="AB18" i="5"/>
  <c r="AC9" i="5" s="1"/>
  <c r="AC18" i="5" s="1"/>
  <c r="AD9" i="5" s="1"/>
  <c r="AD18" i="5" s="1"/>
  <c r="AT28" i="5"/>
  <c r="AG18" i="5"/>
  <c r="AH9" i="5" s="1"/>
  <c r="AH18" i="5" s="1"/>
  <c r="AI9" i="5" s="1"/>
  <c r="AI18" i="5" s="1"/>
  <c r="AN13" i="7"/>
  <c r="AK25" i="2"/>
  <c r="AK31" i="2" s="1"/>
  <c r="X12" i="7"/>
  <c r="X13" i="7" s="1"/>
  <c r="D13" i="7"/>
  <c r="S12" i="7"/>
  <c r="S13" i="7" s="1"/>
  <c r="AB44" i="3"/>
  <c r="AB46" i="3" s="1"/>
  <c r="T12" i="7"/>
  <c r="T13" i="7" s="1"/>
  <c r="W26" i="7"/>
  <c r="W27" i="7" s="1"/>
  <c r="R12" i="7"/>
  <c r="R13" i="7" s="1"/>
  <c r="P12" i="7"/>
  <c r="P13" i="7" s="1"/>
  <c r="Y12" i="7"/>
  <c r="Y13" i="7" s="1"/>
  <c r="AC27" i="1"/>
  <c r="AC39" i="1" s="1"/>
  <c r="AC43" i="1" s="1"/>
  <c r="E9" i="6"/>
  <c r="D11" i="7"/>
  <c r="AN16" i="5"/>
  <c r="AN11" i="5"/>
  <c r="AN33" i="5"/>
  <c r="AM37" i="5"/>
  <c r="AN28" i="5" s="1"/>
  <c r="AN12" i="5"/>
  <c r="E12" i="5" s="1"/>
  <c r="E17" i="2"/>
  <c r="AD12" i="7"/>
  <c r="AD13" i="7" s="1"/>
  <c r="AN67" i="2"/>
  <c r="AC12" i="7"/>
  <c r="AC13" i="7" s="1"/>
  <c r="M29" i="1"/>
  <c r="W27" i="1"/>
  <c r="W39" i="1" s="1"/>
  <c r="W43" i="1" s="1"/>
  <c r="T27" i="1"/>
  <c r="T39" i="1" s="1"/>
  <c r="T43" i="1" s="1"/>
  <c r="X27" i="1"/>
  <c r="X39" i="1" s="1"/>
  <c r="X43" i="1" s="1"/>
  <c r="R29" i="1"/>
  <c r="N29" i="1"/>
  <c r="V27" i="1"/>
  <c r="V39" i="1" s="1"/>
  <c r="V43" i="1" s="1"/>
  <c r="L27" i="1"/>
  <c r="L39" i="1" s="1"/>
  <c r="L43" i="1" s="1"/>
  <c r="I29" i="1"/>
  <c r="AB43" i="1"/>
  <c r="A12" i="6"/>
  <c r="AT37" i="5" l="1"/>
  <c r="E34" i="1"/>
  <c r="AF39" i="1"/>
  <c r="AF43" i="1" s="1"/>
  <c r="C27" i="1"/>
  <c r="E27" i="1" s="1"/>
  <c r="C65" i="2"/>
  <c r="E65" i="2" s="1"/>
  <c r="AF12" i="7"/>
  <c r="AF13" i="7" s="1"/>
  <c r="AH12" i="7"/>
  <c r="AH13" i="7" s="1"/>
  <c r="G36" i="1"/>
  <c r="G37" i="1" s="1"/>
  <c r="C35" i="1"/>
  <c r="D35" i="1"/>
  <c r="AE12" i="7"/>
  <c r="AE13" i="7" s="1"/>
  <c r="G32" i="2"/>
  <c r="C31" i="2"/>
  <c r="E31" i="2" s="1"/>
  <c r="AK27" i="7"/>
  <c r="E28" i="5"/>
  <c r="AN37" i="5"/>
  <c r="AN14" i="5"/>
  <c r="AN26" i="7"/>
  <c r="AO26" i="7"/>
  <c r="AO27" i="7" s="1"/>
  <c r="E25" i="2"/>
  <c r="E11" i="6"/>
  <c r="A13" i="6"/>
  <c r="G38" i="1" l="1"/>
  <c r="G39" i="1" s="1"/>
  <c r="D37" i="1"/>
  <c r="C37" i="1"/>
  <c r="C67" i="2"/>
  <c r="AR26" i="7"/>
  <c r="G33" i="2"/>
  <c r="AN27" i="7"/>
  <c r="E14" i="5"/>
  <c r="AN18" i="5"/>
  <c r="E18" i="5" s="1"/>
  <c r="A14" i="6"/>
  <c r="E12" i="6"/>
  <c r="B26" i="7" l="1"/>
  <c r="D26" i="7" s="1"/>
  <c r="AR12" i="7"/>
  <c r="B12" i="7" s="1"/>
  <c r="D12" i="7" s="1"/>
  <c r="AR27" i="7"/>
  <c r="B27" i="7" s="1"/>
  <c r="D27" i="7" s="1"/>
  <c r="C33" i="2"/>
  <c r="D33" i="2"/>
  <c r="G40" i="1"/>
  <c r="G41" i="1" s="1"/>
  <c r="D39" i="1"/>
  <c r="C39" i="1"/>
  <c r="E13" i="6"/>
  <c r="A15" i="6"/>
  <c r="E33" i="2" l="1"/>
  <c r="E39" i="1"/>
  <c r="G42" i="1"/>
  <c r="G43" i="1" s="1"/>
  <c r="D41" i="1"/>
  <c r="C41" i="1"/>
  <c r="A16" i="6"/>
  <c r="A17" i="6" s="1"/>
  <c r="E41" i="1" l="1"/>
  <c r="G44" i="1"/>
  <c r="G45" i="1" s="1"/>
  <c r="D43" i="1"/>
  <c r="C43" i="1"/>
  <c r="E15" i="6"/>
  <c r="A18" i="6"/>
  <c r="A19" i="6" s="1"/>
  <c r="E43" i="1" l="1"/>
  <c r="G46" i="1"/>
  <c r="D45" i="1"/>
  <c r="C45" i="1"/>
  <c r="E17" i="6"/>
  <c r="A20" i="6"/>
  <c r="E45" i="1" l="1"/>
  <c r="D46" i="1"/>
  <c r="C46" i="1"/>
  <c r="E19" i="6"/>
  <c r="A21" i="6"/>
  <c r="E46" i="1" l="1"/>
  <c r="E20" i="6"/>
  <c r="A22" i="6"/>
  <c r="E21" i="6" l="1"/>
  <c r="A23" i="6"/>
  <c r="A24" i="6" l="1"/>
  <c r="E22" i="6"/>
  <c r="A25" i="6" l="1"/>
  <c r="E23" i="6"/>
  <c r="A26" i="6" l="1"/>
  <c r="E24" i="6"/>
  <c r="E25" i="6" l="1"/>
  <c r="A27" i="6"/>
  <c r="A28" i="6" l="1"/>
  <c r="A29" i="6" l="1"/>
  <c r="E29" i="6" l="1"/>
  <c r="D10" i="7" l="1"/>
  <c r="D36" i="3" l="1"/>
  <c r="E36" i="3" s="1"/>
  <c r="D13" i="3"/>
  <c r="AX13" i="3"/>
  <c r="AX15" i="3" l="1"/>
  <c r="D15" i="3" l="1"/>
  <c r="AX38" i="3"/>
  <c r="D38" i="3" l="1"/>
  <c r="E38" i="3" s="1"/>
</calcChain>
</file>

<file path=xl/sharedStrings.xml><?xml version="1.0" encoding="utf-8"?>
<sst xmlns="http://schemas.openxmlformats.org/spreadsheetml/2006/main" count="1074" uniqueCount="224">
  <si>
    <t>CHILE</t>
  </si>
  <si>
    <t>Power Plants</t>
  </si>
  <si>
    <t>MW</t>
  </si>
  <si>
    <t>Technology</t>
  </si>
  <si>
    <t>Region</t>
  </si>
  <si>
    <t>Aconcagua Complex</t>
  </si>
  <si>
    <t>Hydro</t>
  </si>
  <si>
    <t>Valparaíso Region</t>
  </si>
  <si>
    <t>Carena</t>
  </si>
  <si>
    <t>El Maule Complex</t>
  </si>
  <si>
    <t>Maule Region</t>
  </si>
  <si>
    <t>Laja</t>
  </si>
  <si>
    <t>Angostura</t>
  </si>
  <si>
    <t>Canutillar</t>
  </si>
  <si>
    <t>Los Lagos Region</t>
  </si>
  <si>
    <t>Total Hydro Installed Capacity</t>
  </si>
  <si>
    <t>Ovejería</t>
  </si>
  <si>
    <t>Photovoltaic</t>
  </si>
  <si>
    <t>Machicura</t>
  </si>
  <si>
    <t>Diego de Almagro</t>
  </si>
  <si>
    <t>Antofagasta Region</t>
  </si>
  <si>
    <t>Total Photovoltaic Installed Capacity</t>
  </si>
  <si>
    <t>Nehuenco 1</t>
  </si>
  <si>
    <t>Gas</t>
  </si>
  <si>
    <t>Metropolitana Region</t>
  </si>
  <si>
    <t>Nehuenco 2</t>
  </si>
  <si>
    <t>Nehuenco 3</t>
  </si>
  <si>
    <t>Gas-Diesel</t>
  </si>
  <si>
    <t>Candelaria</t>
  </si>
  <si>
    <t>Bernardo O´Higgins Liberator Region</t>
  </si>
  <si>
    <t>Los Pinos</t>
  </si>
  <si>
    <t>Diesel</t>
  </si>
  <si>
    <t>Bío Bío Region</t>
  </si>
  <si>
    <t>Santa María</t>
  </si>
  <si>
    <t>Coal</t>
  </si>
  <si>
    <t>Total Thermic Installed Capacity</t>
  </si>
  <si>
    <t>Total Chile Installed Capacity</t>
  </si>
  <si>
    <t>PERÚ</t>
  </si>
  <si>
    <t>Fenix</t>
  </si>
  <si>
    <t>Central Coast Region</t>
  </si>
  <si>
    <t>Total Perú Installed Capacity</t>
  </si>
  <si>
    <t>Total Colbún Installed Capacity</t>
  </si>
  <si>
    <t>Contracted Annual Energy (GWh)</t>
  </si>
  <si>
    <t>Start Date</t>
  </si>
  <si>
    <t>End Date</t>
  </si>
  <si>
    <t>Energy Supply</t>
  </si>
  <si>
    <t>Regulated *</t>
  </si>
  <si>
    <t>Enel Dx. y EEPA</t>
  </si>
  <si>
    <t>Mix</t>
  </si>
  <si>
    <t>Pelumpen</t>
  </si>
  <si>
    <t>Unregulated</t>
  </si>
  <si>
    <t>Codelco I</t>
  </si>
  <si>
    <t>Codelco II</t>
  </si>
  <si>
    <t>1,800-1,000</t>
  </si>
  <si>
    <t>2010-2026</t>
  </si>
  <si>
    <t>2025-2044</t>
  </si>
  <si>
    <t>Mix-Renewable</t>
  </si>
  <si>
    <t>CMPC</t>
  </si>
  <si>
    <t>Walmart</t>
  </si>
  <si>
    <t>Renewable</t>
  </si>
  <si>
    <t>Bio Bio</t>
  </si>
  <si>
    <t>Antofagasta Minerals - Minera Zaldivar</t>
  </si>
  <si>
    <t>BHP</t>
  </si>
  <si>
    <t>CCU</t>
  </si>
  <si>
    <t>Collahuasi</t>
  </si>
  <si>
    <t>230-650</t>
  </si>
  <si>
    <t>2024-2026</t>
  </si>
  <si>
    <t>2025-2035</t>
  </si>
  <si>
    <t>Puerto Angamos</t>
  </si>
  <si>
    <t>Aguas Pacífico</t>
  </si>
  <si>
    <t>Antofagasta Minerals - Minera Centinela</t>
  </si>
  <si>
    <t>Codelco III</t>
  </si>
  <si>
    <t>PHYSICAL SALES</t>
  </si>
  <si>
    <t>1Q23</t>
  </si>
  <si>
    <t>1Q24</t>
  </si>
  <si>
    <t>Var (%)</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</si>
  <si>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</si>
  <si>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</si>
  <si>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</si>
  <si>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</si>
  <si>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</si>
  <si>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</si>
  <si>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</si>
  <si>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</si>
  <si>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</si>
  <si>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</si>
  <si>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</si>
  <si>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</si>
  <si>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</si>
  <si>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</si>
  <si>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</si>
  <si>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</si>
  <si>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</si>
  <si>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</si>
  <si>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</si>
  <si>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</si>
  <si>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</si>
  <si>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</si>
  <si>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</si>
  <si>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</si>
  <si>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</si>
  <si>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</si>
  <si>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</si>
  <si>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</si>
  <si>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</si>
  <si>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</si>
  <si>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</si>
  <si>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</si>
  <si>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</si>
  <si>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</si>
  <si>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</si>
  <si>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</si>
  <si>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2Q23</t>
  </si>
  <si>
    <t>3Q23</t>
  </si>
  <si>
    <t>4Q23</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</si>
  <si>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</si>
  <si>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</si>
  <si>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</si>
  <si>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</si>
  <si>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</si>
  <si>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</si>
  <si>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</si>
  <si>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</si>
  <si>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</si>
  <si>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</si>
  <si>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</si>
  <si>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</si>
  <si>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t>
  </si>
  <si>
    <t xml:space="preserve">    Wind (*)</t>
  </si>
  <si>
    <t xml:space="preserve">    Solar(**)</t>
  </si>
  <si>
    <t>Spot Market Purchases</t>
  </si>
  <si>
    <t>-</t>
  </si>
  <si>
    <t>Sales - Purchases to the Spot Market</t>
  </si>
  <si>
    <t>Customers Under Contract</t>
  </si>
  <si>
    <t>Thermoelectric - Gas</t>
  </si>
  <si>
    <t xml:space="preserve">(*) Corresponds to the energy purchased from the Punta Palmeras wind farm </t>
  </si>
  <si>
    <t>(**) Corresponds to the energy purchased from the Imelsa solar pv plant</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</si>
  <si>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</si>
  <si>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</si>
  <si>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</si>
  <si>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</si>
  <si>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</si>
  <si>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</si>
  <si>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</si>
  <si>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</si>
  <si>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</si>
  <si>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</si>
  <si>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</si>
  <si>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</si>
  <si>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</si>
  <si>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</si>
  <si>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</si>
  <si>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</si>
  <si>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</si>
  <si>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</si>
  <si>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</si>
  <si>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</si>
  <si>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</si>
  <si>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</si>
  <si>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</si>
  <si>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</si>
  <si>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</si>
  <si>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</si>
  <si>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</si>
  <si>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</si>
  <si>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</si>
  <si>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</si>
  <si>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</si>
  <si>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</si>
  <si>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NON-OPERATING INCOME</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</si>
  <si>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</si>
  <si>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 xml:space="preserve">CHILE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</si>
  <si>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</si>
  <si>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</si>
  <si>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</si>
  <si>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</si>
  <si>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</si>
  <si>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</si>
  <si>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</si>
  <si>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</si>
  <si>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</si>
  <si>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ENERGY SALES</t>
  </si>
  <si>
    <t xml:space="preserve">3Q19 </t>
  </si>
  <si>
    <t xml:space="preserve">4Q19 </t>
  </si>
  <si>
    <t>Sales to Other Generators</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</si>
  <si>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</si>
  <si>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</si>
  <si>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</si>
  <si>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</si>
  <si>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</si>
  <si>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</si>
  <si>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</si>
  <si>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</si>
  <si>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</si>
  <si>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</si>
  <si>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</si>
  <si>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</si>
  <si>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</si>
  <si>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</si>
  <si>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</si>
  <si>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</si>
  <si>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</si>
  <si>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</si>
  <si>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</si>
  <si>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 The account “Financial Investments” presented includes the amount associated to time deposits that, by having an investment term of more than 90 days, are recorded as “Other Current Financial Assets” in the Financial Statements.</t>
  </si>
  <si>
    <t>AMORTIZATION PROFILE (*)</t>
  </si>
  <si>
    <t xml:space="preserve">Colbun </t>
  </si>
  <si>
    <t>(*) Leasings, accrued interests and activated expenses are not included.</t>
  </si>
  <si>
    <t>CASH FLOW</t>
  </si>
  <si>
    <t>Cash Equivalents, Beg. of Period*</t>
  </si>
  <si>
    <t xml:space="preserve">Cash Equivalents, Beg. of Period </t>
  </si>
  <si>
    <t xml:space="preserve">Net cash flows provided by (used in) operating activities </t>
  </si>
  <si>
    <t>Net cash flows provided by (used in) financing activities</t>
  </si>
  <si>
    <t xml:space="preserve">Net cash flows provided by (used in) financing activities </t>
  </si>
  <si>
    <t>Net cash flows provided by (used in) investing activities**</t>
  </si>
  <si>
    <t>Net cash flows provided by (used in) investing activities</t>
  </si>
  <si>
    <t>Net Cash Flows for the Period</t>
  </si>
  <si>
    <t>Effects of exchange rate changes on cash and cash equivalents</t>
  </si>
  <si>
    <t xml:space="preserve">Cash Equivalents, End of Period </t>
  </si>
  <si>
    <t>Net cash flows provided by (used in) financing activities**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</si>
  <si>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</si>
  <si>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2Q24</t>
  </si>
  <si>
    <t>Var%</t>
  </si>
  <si>
    <t>Var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</si>
</sst>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8" formatCode="&quot;$&quot;\ #,##0.00;[Red]\-&quot;$&quot;\ #,##0.00"/>
    <numFmt numFmtId="41" formatCode="_-* #,##0_-;\-* #,##0_-;_-* &quot;-&quot;_-;_-@_-"/>
    <numFmt numFmtId="43" formatCode="_-* #,##0.00_-;\-* #,##0.00_-;_-* &quot;-&quot;??_-;_-@_-"/>
    <numFmt numFmtId="164" formatCode="_ &quot;$&quot;* #,##0_ ;_ &quot;$&quot;* \-#,##0_ ;_ &quot;$&quot;* &quot;-&quot;_ ;_ @_ "/>
    <numFmt numFmtId="165" formatCode="_ * #,##0_ ;_ * \-#,##0_ ;_ * &quot;-&quot;_ ;_ @_ "/>
    <numFmt numFmtId="166" formatCode="_ * #,##0.00_ ;_ * \-#,##0.00_ ;_ * &quot;-&quot;??_ ;_ @_ "/>
    <numFmt numFmtId="167" formatCode="_-&quot;$&quot;* #,##0_-;\-&quot;$&quot;* #,##0_-;_-&quot;$&quot;* &quot;-&quot;_-;_-@_-"/>
    <numFmt numFmtId="168" formatCode="_-&quot;$&quot;* #,##0.00_-;\-&quot;$&quot;* #,##0.00_-;_-&quot;$&quot;* &quot;-&quot;??_-;_-@_-"/>
    <numFmt numFmtId="169" formatCode="0.0"/>
    <numFmt numFmtId="170" formatCode="_(* #,##0.0_);_(* \(#,##0.0\);_(* &quot;-&quot;??_);_(@_)"/>
    <numFmt numFmtId="171" formatCode="_ * #,##0.0_ ;_ * \-#,##0.0_ ;_ * &quot;-&quot;_ ;_ @_ "/>
    <numFmt numFmtId="172" formatCode="_(* #,##0_);_(* \(#,##0\);_(* &quot;-&quot;??_);_(@_)"/>
    <numFmt numFmtId="173" formatCode="0%_);\(0%\)"/>
    <numFmt numFmtId="174" formatCode="0.000"/>
    <numFmt numFmtId="175" formatCode="_ * #,##0.0_ ;_ * \-#,##0.0_ ;_ * &quot;-&quot;?_ ;_ @_ "/>
    <numFmt numFmtId="176" formatCode="\-"/>
    <numFmt numFmtId="177" formatCode="_-[$€-2]\ * #,##0.00_-;\-[$€-2]\ * #,##0.00_-;_-[$€-2]\ * &quot;-&quot;??_-"/>
    <numFmt numFmtId="178" formatCode="#,##0.0"/>
    <numFmt numFmtId="179" formatCode="_-* #,##0.0_-;\-* #,##0.0_-;_-* &quot;-&quot;?_-;_-@_-"/>
    <numFmt numFmtId="180" formatCode="_-* #,##0_-;\-* #,##0_-;_-* &quot;-&quot;??_-;_-@_-"/>
    <numFmt numFmtId="181" formatCode="General_)"/>
    <numFmt numFmtId="182" formatCode="#,##0_);\(#,##0\);&quot;-       &quot;"/>
    <numFmt numFmtId="183" formatCode="0.000_)"/>
    <numFmt numFmtId="184" formatCode="#,##0_)_%;\(#,##0\)_%;"/>
    <numFmt numFmtId="185" formatCode="_._.* #,##0.0_)_%;_._.* \(#,##0.0\)_%;_._.* \ .0_)_%"/>
    <numFmt numFmtId="186" formatCode="#,##0.0_)_%;\(#,##0.0\)_%;\ \ .0_)_%"/>
    <numFmt numFmtId="187" formatCode="_._.* #,##0.0_)_%;_._.* \(#,##0.0\)_%"/>
    <numFmt numFmtId="188" formatCode="#,##0.00_)_%;\(#,##0.00\)_%;\ \ .00_)_%"/>
    <numFmt numFmtId="189" formatCode="_._.* #,##0.00_)_%;_._.* \(#,##0.00\)_%"/>
    <numFmt numFmtId="190" formatCode="_._.* #,##0.000_)_%;_._.* \(#,##0.000\)_%;_._.* \ .000_)_%"/>
    <numFmt numFmtId="191" formatCode="#,##0.000_)_%;\(#,##0.000\)_%;\ \ .000_)_%"/>
    <numFmt numFmtId="192" formatCode="_._.* #,##0.000_)_%;_._.* \(#,##0.000\)_%"/>
    <numFmt numFmtId="193" formatCode="mmmm\ d\,\ yyyy"/>
    <numFmt numFmtId="194" formatCode="_ * #,##0_ ;_ * \-#,##0_ ;_ * &quot;-&quot;??_ ;_ @_ "/>
    <numFmt numFmtId="195" formatCode="#,##0.0000_);\(#,##0.0000\);&quot;-            &quot;"/>
    <numFmt numFmtId="196" formatCode="0.00000000000"/>
    <numFmt numFmtId="197" formatCode="_._.* \(#,##0\)_%;_._.* #,##0_)_%;_._.* 0_)_%;_._.@_)_%"/>
    <numFmt numFmtId="198" formatCode="_._.&quot;$&quot;* \(#,##0\)_%;_._.&quot;$&quot;* #,##0_)_%;_._.&quot;$&quot;* 0_)_%;_._.@_)_%"/>
    <numFmt numFmtId="199" formatCode="* \(#,##0\);* #,##0_);&quot;-&quot;??_);@"/>
    <numFmt numFmtId="200" formatCode="&quot;$&quot;* #,##0_)_%;&quot;$&quot;* \(#,##0\)_%;&quot;$&quot;* &quot;-&quot;??_)_%;@_)_%"/>
    <numFmt numFmtId="201" formatCode="_._.&quot;$&quot;* #,##0.0_)_%;_._.&quot;$&quot;* \(#,##0.0\)_%;_._.&quot;$&quot;* \ .0_)_%"/>
    <numFmt numFmtId="202" formatCode="&quot;$&quot;* #,##0.0_)_%;&quot;$&quot;* \(#,##0.0\)_%;&quot;$&quot;* \ .0_)_%"/>
    <numFmt numFmtId="203" formatCode="_._.&quot;$&quot;* #,##0.0_)_%;_._.&quot;$&quot;* \(#,##0.0\)_%"/>
    <numFmt numFmtId="204" formatCode="&quot;$&quot;* #,##0.00_);&quot;$&quot;* \(#,##0.00\)"/>
    <numFmt numFmtId="205" formatCode="&quot;$&quot;* #,##0.00_)_%;&quot;$&quot;* \(#,##0.00\)_%;&quot;$&quot;* \ .00_)_%"/>
    <numFmt numFmtId="206" formatCode="_._.&quot;$&quot;* #,##0.00_)_%;_._.&quot;$&quot;* \(#,##0.00\)_%"/>
    <numFmt numFmtId="207" formatCode="_._.&quot;$&quot;* #,##0.000_)_%;_._.&quot;$&quot;* \(#,##0.000\)_%;_._.&quot;$&quot;* \ .000_)_%"/>
    <numFmt numFmtId="208" formatCode="&quot;$&quot;* #,##0.000_)_%;&quot;$&quot;* \(#,##0.000\)_%;&quot;$&quot;* \ .000_)_%"/>
    <numFmt numFmtId="209" formatCode="_._.&quot;$&quot;* #,##0.000_)_%;_._.&quot;$&quot;* \(#,##0.000\)_%"/>
    <numFmt numFmtId="210" formatCode="&quot;$&quot;#,##0\ ;\(&quot;$&quot;#,##0\)"/>
    <numFmt numFmtId="211" formatCode="* #,##0_);* \(#,##0\);&quot;-&quot;??_);@"/>
    <numFmt numFmtId="212" formatCode="&quot;$&quot;#,##0"/>
    <numFmt numFmtId="213" formatCode="#."/>
    <numFmt numFmtId="214" formatCode="_ [$€-2]\ * #,##0.00_ ;_ [$€-2]\ * \-#,##0.00_ ;_ [$€-2]\ * &quot;-&quot;??_ "/>
    <numFmt numFmtId="215" formatCode="\ "/>
    <numFmt numFmtId="216" formatCode="#,##0\ &quot;pta&quot;;\-#,##0\ &quot;pta&quot;"/>
    <numFmt numFmtId="217" formatCode="\$#.00"/>
    <numFmt numFmtId="218" formatCode="0.00_)"/>
    <numFmt numFmtId="219" formatCode="_(0_)%;\(0\)%;\ \ _)\%"/>
    <numFmt numFmtId="220" formatCode="_._._(* 0_)%;_._.\(* 0\)%;_._._(* \ _)\%"/>
    <numFmt numFmtId="221" formatCode="0_)%;\(0\)%"/>
    <numFmt numFmtId="222" formatCode="_(0.0_)%;\(0.0\)%;\ \ .0_)%"/>
    <numFmt numFmtId="223" formatCode="_._._(* 0.0_)%;_._.\(* 0.0\)%;_._._(* \ .0_)%"/>
    <numFmt numFmtId="224" formatCode="_(0.0_)%;\(0.0\)%"/>
    <numFmt numFmtId="225" formatCode="_(0.00_)%;\(0.00\)%;\ \ .00_)%"/>
    <numFmt numFmtId="226" formatCode="_._._(* 0.00_)%;_._.\(* 0.00\)%;_._._(* \ .00_)%"/>
    <numFmt numFmtId="227" formatCode="_(0.00_)%;\(0.00\)%"/>
    <numFmt numFmtId="228" formatCode="_(0.000_)%;\(0.000\)%;\ \ .000_)%"/>
    <numFmt numFmtId="229" formatCode="_._._(* 0.000_)%;_._.\(* 0.000\)%;_._._(* \ .000_)%"/>
    <numFmt numFmtId="230" formatCode="_(0.000_)%;\(0.000\)%"/>
    <numFmt numFmtId="231" formatCode="%#.00"/>
    <numFmt numFmtId="232" formatCode="_-* #,##0\ &quot;Pts&quot;_-;\-* #,##0\ &quot;Pts&quot;_-;_-* &quot;-&quot;\ &quot;Pts&quot;_-;_-@_-"/>
    <numFmt numFmtId="233" formatCode="_-* #,##0.00\ &quot;Pts&quot;_-;\-* #,##0.00\ &quot;Pts&quot;_-;_-* &quot;-&quot;??\ &quot;Pts&quot;_-;_-@_-"/>
    <numFmt numFmtId="234" formatCode="_(* #,##0_);_(* \(#,##0\);_(* \ _)"/>
    <numFmt numFmtId="235" formatCode="_(* #,##0.0_);_(* \(#,##0.0\);_(* \ .0_)"/>
    <numFmt numFmtId="236" formatCode="_(* #,##0.00_);_(* \(#,##0.00\);_(* \ .00_)"/>
    <numFmt numFmtId="237" formatCode="_(* #,##0.000_);_(* \(#,##0.000\);_(* \ .000_)"/>
    <numFmt numFmtId="238" formatCode="_(&quot;$&quot;* #,##0_);_(&quot;$&quot;* \(#,##0\);_(&quot;$&quot;* \ _)"/>
    <numFmt numFmtId="239" formatCode="_(&quot;$&quot;* #,##0.0_);_(&quot;$&quot;* \(#,##0.0\);_(&quot;$&quot;* \ .0_)"/>
    <numFmt numFmtId="240" formatCode="_(&quot;$&quot;* #,##0.00_);_(&quot;$&quot;* \(#,##0.00\);_(&quot;$&quot;* \ .00_)"/>
    <numFmt numFmtId="241" formatCode="_(&quot;$&quot;* #,##0.000_);_(&quot;$&quot;* \(#,##0.000\);_(&quot;$&quot;* \ .000_)"/>
    <numFmt numFmtId="242" formatCode="_(* #,##0.000_);_(* \(#,##0.000\);_(* &quot;-&quot;??_);_(@_)"/>
    <numFmt numFmtId="243" formatCode="_ * #,##0.0_ ;_ * \-#,##0.0_ ;_ * &quot;-&quot;??_ ;_ @_ "/>
  </numFmts>
  <fonts count="87">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color indexed="9"/>
      <name val="Czcionka tekstu podstawowego"/>
      <family val="2"/>
      <charset val="238"/>
    </font>
    <font>
      <b/>
      <sz val="10"/>
      <name val="Verdana"/>
      <family val="2"/>
    </font>
    <font>
      <sz val="10"/>
      <name val="Courier"/>
      <family val="3"/>
    </font>
    <font>
      <sz val="11"/>
      <color indexed="9"/>
      <name val="Calibri"/>
      <family val="2"/>
    </font>
    <font>
      <sz val="11"/>
      <color indexed="20"/>
      <name val="Calibri"/>
      <family val="2"/>
    </font>
    <font>
      <b/>
      <sz val="18"/>
      <name val="Helv"/>
    </font>
    <font>
      <b/>
      <sz val="18"/>
      <color indexed="22"/>
      <name val="Arial"/>
      <family val="2"/>
    </font>
    <font>
      <b/>
      <sz val="12"/>
      <color indexed="22"/>
      <name val="Arial"/>
      <family val="2"/>
    </font>
    <font>
      <b/>
      <sz val="11"/>
      <color indexed="52"/>
      <name val="Calibri"/>
      <family val="2"/>
    </font>
    <font>
      <b/>
      <sz val="10"/>
      <name val="Arial"/>
      <family val="2"/>
    </font>
    <font>
      <b/>
      <sz val="11"/>
      <name val="Arial"/>
      <family val="2"/>
    </font>
    <font>
      <b/>
      <sz val="11"/>
      <color indexed="9"/>
      <name val="Calibri"/>
      <family val="2"/>
    </font>
    <font>
      <b/>
      <sz val="8"/>
      <name val="Arial"/>
      <family val="2"/>
    </font>
    <font>
      <sz val="11"/>
      <name val="Tms Rmn"/>
      <family val="1"/>
    </font>
    <font>
      <sz val="11"/>
      <name val="Times New Roman"/>
      <family val="1"/>
    </font>
    <font>
      <sz val="9"/>
      <name val="Arial"/>
      <family val="2"/>
    </font>
    <font>
      <sz val="11"/>
      <name val="New Times Roman"/>
    </font>
    <font>
      <u val="singleAccounting"/>
      <sz val="11"/>
      <name val="Times New Roman"/>
      <family val="1"/>
    </font>
    <font>
      <sz val="10"/>
      <name val="Times New Roman"/>
      <family val="1"/>
    </font>
    <font>
      <sz val="10"/>
      <color indexed="22"/>
      <name val="Arial"/>
      <family val="2"/>
    </font>
    <font>
      <b/>
      <sz val="14"/>
      <name val="Arial"/>
      <family val="2"/>
    </font>
    <font>
      <sz val="11"/>
      <color indexed="12"/>
      <name val="Times New Roman"/>
      <family val="1"/>
    </font>
    <font>
      <sz val="1"/>
      <color indexed="8"/>
      <name val="Courier"/>
      <family val="3"/>
    </font>
    <font>
      <b/>
      <sz val="1"/>
      <color indexed="8"/>
      <name val="Courier"/>
      <family val="3"/>
    </font>
    <font>
      <b/>
      <sz val="12"/>
      <name val="Arial"/>
      <family val="2"/>
    </font>
    <font>
      <i/>
      <sz val="11"/>
      <color indexed="23"/>
      <name val="Calibri"/>
      <family val="2"/>
    </font>
    <font>
      <sz val="11"/>
      <color indexed="17"/>
      <name val="Calibri"/>
      <family val="2"/>
    </font>
    <font>
      <sz val="8"/>
      <name val="Arial"/>
      <family val="2"/>
    </font>
    <font>
      <b/>
      <sz val="12"/>
      <name val="Verdana"/>
      <family val="2"/>
    </font>
    <font>
      <b/>
      <sz val="11"/>
      <color indexed="56"/>
      <name val="Calibri"/>
      <family val="2"/>
    </font>
    <font>
      <sz val="11"/>
      <color indexed="62"/>
      <name val="Calibri"/>
      <family val="2"/>
    </font>
    <font>
      <sz val="12"/>
      <name val="Helv"/>
    </font>
    <font>
      <sz val="11"/>
      <color indexed="52"/>
      <name val="Calibri"/>
      <family val="2"/>
    </font>
    <font>
      <sz val="8"/>
      <color indexed="18"/>
      <name val="Verdana"/>
      <family val="2"/>
    </font>
    <font>
      <sz val="8"/>
      <name val="Verdana"/>
      <family val="2"/>
    </font>
    <font>
      <b/>
      <i/>
      <sz val="16"/>
      <name val="Helv"/>
    </font>
    <font>
      <b/>
      <sz val="11"/>
      <color indexed="63"/>
      <name val="Calibri"/>
      <family val="2"/>
    </font>
    <font>
      <sz val="10"/>
      <name val="Helv"/>
    </font>
    <font>
      <sz val="18"/>
      <color indexed="8"/>
      <name val="Tms Rmn"/>
    </font>
    <font>
      <sz val="10"/>
      <name val="MS Sans Serif"/>
      <family val="2"/>
    </font>
    <font>
      <b/>
      <sz val="10"/>
      <name val="MS Sans Serif"/>
      <family val="2"/>
    </font>
    <font>
      <sz val="9"/>
      <name val="Helv"/>
    </font>
    <font>
      <b/>
      <sz val="10"/>
      <color indexed="10"/>
      <name val="Arial"/>
      <family val="2"/>
    </font>
    <font>
      <b/>
      <sz val="18"/>
      <color indexed="56"/>
      <name val="Cambria"/>
      <family val="2"/>
    </font>
    <font>
      <sz val="11"/>
      <color indexed="10"/>
      <name val="Calibri"/>
      <family val="2"/>
    </font>
    <font>
      <sz val="8"/>
      <color indexed="72"/>
      <name val="MS Sans Serif"/>
      <family val="2"/>
    </font>
    <font>
      <sz val="11"/>
      <name val="Arial"/>
      <family val="2"/>
    </font>
    <font>
      <sz val="11"/>
      <color indexed="60"/>
      <name val="Calibri"/>
      <family val="2"/>
    </font>
    <font>
      <b/>
      <sz val="11"/>
      <color indexed="8"/>
      <name val="Calibri"/>
      <family val="2"/>
    </font>
    <font>
      <sz val="11"/>
      <name val="Calibri"/>
      <family val="2"/>
    </font>
    <font>
      <sz val="10"/>
      <name val="Bookman Old Style"/>
      <family val="1"/>
    </font>
    <font>
      <sz val="10"/>
      <color theme="0"/>
      <name val="Trebuchet MS"/>
      <family val="2"/>
    </font>
    <font>
      <sz val="10"/>
      <color rgb="FF595959"/>
      <name val="Trebuchet MS"/>
      <family val="2"/>
    </font>
    <font>
      <b/>
      <sz val="10"/>
      <color theme="0" tint="-0.249977111117893"/>
      <name val="Trebuchet MS"/>
      <family val="2"/>
    </font>
  </fonts>
  <fills count="6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0"/>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43"/>
      </patternFill>
    </fill>
    <fill>
      <patternFill patternType="solid">
        <fgColor rgb="FFFFFFFF"/>
        <bgColor rgb="FF000000"/>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21"/>
      </top>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medium">
        <color indexed="64"/>
      </bottom>
      <diagonal/>
    </border>
  </borders>
  <cellStyleXfs count="5184">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xf numFmtId="43" fontId="8" fillId="0" borderId="0" applyFont="0" applyFill="0" applyBorder="0" applyAlignment="0" applyProtection="0"/>
    <xf numFmtId="43" fontId="1" fillId="0" borderId="0" applyFont="0" applyFill="0" applyBorder="0" applyAlignment="0" applyProtection="0"/>
    <xf numFmtId="0" fontId="8" fillId="0" borderId="0"/>
    <xf numFmtId="43" fontId="8" fillId="0" borderId="0" applyFont="0" applyFill="0" applyBorder="0" applyAlignment="0" applyProtection="0"/>
    <xf numFmtId="166" fontId="1" fillId="0" borderId="0" applyFont="0" applyFill="0" applyBorder="0" applyAlignment="0" applyProtection="0"/>
    <xf numFmtId="0" fontId="8" fillId="0" borderId="0"/>
    <xf numFmtId="177"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43" fontId="8" fillId="0" borderId="0" applyFont="0" applyFill="0" applyBorder="0" applyAlignment="0" applyProtection="0"/>
    <xf numFmtId="0" fontId="1" fillId="0" borderId="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2" fillId="11" borderId="4" applyNumberFormat="0" applyAlignment="0" applyProtection="0"/>
    <xf numFmtId="0" fontId="23" fillId="12" borderId="5" applyNumberFormat="0" applyAlignment="0" applyProtection="0"/>
    <xf numFmtId="0" fontId="24" fillId="12" borderId="4" applyNumberFormat="0" applyAlignment="0" applyProtection="0"/>
    <xf numFmtId="0" fontId="25" fillId="0" borderId="6" applyNumberFormat="0" applyFill="0" applyAlignment="0" applyProtection="0"/>
    <xf numFmtId="0" fontId="26" fillId="13" borderId="7" applyNumberFormat="0" applyAlignment="0" applyProtection="0"/>
    <xf numFmtId="0" fontId="27" fillId="0" borderId="0" applyNumberFormat="0" applyFill="0" applyBorder="0" applyAlignment="0" applyProtection="0"/>
    <xf numFmtId="0" fontId="1" fillId="14"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1" fillId="0" borderId="0" applyNumberFormat="0" applyFill="0" applyBorder="0" applyAlignment="0" applyProtection="0"/>
    <xf numFmtId="0" fontId="16" fillId="0" borderId="1" applyNumberFormat="0" applyFill="0" applyAlignment="0" applyProtection="0"/>
    <xf numFmtId="0" fontId="32" fillId="10"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3" fillId="39" borderId="0" applyNumberFormat="0" applyBorder="0" applyAlignment="0" applyProtection="0"/>
    <xf numFmtId="0" fontId="7" fillId="0" borderId="0"/>
    <xf numFmtId="0" fontId="8" fillId="0" borderId="0"/>
    <xf numFmtId="0" fontId="35" fillId="0" borderId="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36" fillId="39"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0" borderId="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0" fontId="37" fillId="42" borderId="0" applyNumberFormat="0" applyBorder="0" applyAlignment="0" applyProtection="0"/>
    <xf numFmtId="0" fontId="38" fillId="0" borderId="0"/>
    <xf numFmtId="0" fontId="39" fillId="0" borderId="0" applyNumberFormat="0" applyFill="0" applyBorder="0" applyAlignment="0" applyProtection="0"/>
    <xf numFmtId="0" fontId="40" fillId="0" borderId="0" applyNumberFormat="0" applyFill="0" applyBorder="0" applyAlignment="0" applyProtection="0"/>
    <xf numFmtId="0" fontId="41" fillId="58" borderId="15" applyNumberFormat="0" applyAlignment="0" applyProtection="0"/>
    <xf numFmtId="0" fontId="42" fillId="0" borderId="0" applyFill="0" applyBorder="0" applyProtection="0">
      <alignment horizontal="center"/>
      <protection locked="0"/>
    </xf>
    <xf numFmtId="0" fontId="43" fillId="0" borderId="0" applyFill="0" applyBorder="0" applyProtection="0">
      <alignment horizontal="center"/>
    </xf>
    <xf numFmtId="0" fontId="44" fillId="59" borderId="16" applyNumberFormat="0" applyAlignment="0" applyProtection="0"/>
    <xf numFmtId="0" fontId="45" fillId="0" borderId="13">
      <alignment horizontal="center"/>
    </xf>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4" fontId="8" fillId="0" borderId="0" applyFont="0" applyFill="0" applyBorder="0" applyAlignment="0" applyProtection="0"/>
    <xf numFmtId="185" fontId="47" fillId="0" borderId="0" applyFont="0" applyFill="0" applyBorder="0" applyAlignment="0" applyProtection="0"/>
    <xf numFmtId="186" fontId="48" fillId="0" borderId="0" applyFont="0" applyFill="0" applyBorder="0" applyAlignment="0" applyProtection="0"/>
    <xf numFmtId="187" fontId="47" fillId="0" borderId="0" applyFont="0" applyFill="0" applyBorder="0" applyAlignment="0" applyProtection="0"/>
    <xf numFmtId="39" fontId="49" fillId="0" borderId="0" applyFont="0" applyFill="0" applyBorder="0" applyAlignment="0" applyProtection="0"/>
    <xf numFmtId="188" fontId="48" fillId="0" borderId="0" applyFont="0" applyFill="0" applyBorder="0" applyAlignment="0" applyProtection="0"/>
    <xf numFmtId="189" fontId="50" fillId="0" borderId="0" applyFont="0" applyFill="0" applyBorder="0" applyAlignment="0" applyProtection="0"/>
    <xf numFmtId="190" fontId="50" fillId="0" borderId="0" applyFont="0" applyFill="0" applyBorder="0" applyAlignment="0" applyProtection="0"/>
    <xf numFmtId="191" fontId="48" fillId="0" borderId="0" applyFont="0" applyFill="0" applyBorder="0" applyAlignment="0" applyProtection="0"/>
    <xf numFmtId="192" fontId="50"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80" fontId="8" fillId="0" borderId="0" applyFont="0" applyFill="0" applyBorder="0" applyAlignment="0" applyProtection="0"/>
    <xf numFmtId="166" fontId="13" fillId="0" borderId="0" applyFont="0" applyFill="0" applyBorder="0" applyAlignment="0" applyProtection="0"/>
    <xf numFmtId="43" fontId="8" fillId="0" borderId="0" applyFont="0" applyFill="0" applyBorder="0" applyAlignment="0" applyProtection="0"/>
    <xf numFmtId="166" fontId="13"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166" fontId="13" fillId="0" borderId="0" applyFont="0" applyFill="0" applyBorder="0" applyAlignment="0" applyProtection="0"/>
    <xf numFmtId="182" fontId="8" fillId="0" borderId="0" applyFont="0" applyFill="0" applyBorder="0" applyAlignment="0" applyProtection="0"/>
    <xf numFmtId="194" fontId="8" fillId="0" borderId="0" applyFont="0" applyFill="0" applyBorder="0" applyAlignment="0" applyProtection="0"/>
    <xf numFmtId="195" fontId="7" fillId="0" borderId="0" applyFont="0" applyFill="0" applyBorder="0" applyAlignment="0" applyProtection="0"/>
    <xf numFmtId="193" fontId="7" fillId="0" borderId="0" applyFont="0" applyFill="0" applyBorder="0" applyAlignment="0" applyProtection="0"/>
    <xf numFmtId="166" fontId="51" fillId="0" borderId="0" applyFont="0" applyFill="0" applyBorder="0" applyAlignment="0" applyProtection="0"/>
    <xf numFmtId="196" fontId="7" fillId="0" borderId="0" applyFont="0" applyFill="0" applyBorder="0" applyAlignment="0" applyProtection="0"/>
    <xf numFmtId="194" fontId="8" fillId="0" borderId="0" applyFont="0" applyFill="0" applyBorder="0" applyAlignment="0" applyProtection="0"/>
    <xf numFmtId="181" fontId="8" fillId="0" borderId="0" applyFont="0" applyFill="0" applyBorder="0" applyAlignment="0" applyProtection="0"/>
    <xf numFmtId="166" fontId="13"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3" fontId="52" fillId="0" borderId="0" applyFont="0" applyFill="0" applyBorder="0" applyAlignment="0" applyProtection="0"/>
    <xf numFmtId="0" fontId="53" fillId="0" borderId="0" applyFill="0" applyBorder="0" applyAlignment="0" applyProtection="0">
      <protection locked="0"/>
    </xf>
    <xf numFmtId="197" fontId="54" fillId="0" borderId="0" applyFill="0" applyBorder="0" applyProtection="0"/>
    <xf numFmtId="198" fontId="47" fillId="0" borderId="0" applyFont="0" applyFill="0" applyBorder="0" applyAlignment="0" applyProtection="0"/>
    <xf numFmtId="199" fontId="51" fillId="0" borderId="0" applyFill="0" applyBorder="0" applyProtection="0"/>
    <xf numFmtId="199" fontId="51" fillId="0" borderId="17" applyFill="0" applyProtection="0"/>
    <xf numFmtId="199" fontId="51" fillId="0" borderId="18" applyFill="0" applyProtection="0"/>
    <xf numFmtId="200" fontId="8" fillId="0" borderId="0" applyFont="0" applyFill="0" applyBorder="0" applyAlignment="0" applyProtection="0"/>
    <xf numFmtId="201" fontId="50" fillId="0" borderId="0" applyFont="0" applyFill="0" applyBorder="0" applyAlignment="0" applyProtection="0"/>
    <xf numFmtId="202" fontId="48" fillId="0" borderId="0" applyFont="0" applyFill="0" applyBorder="0" applyAlignment="0" applyProtection="0"/>
    <xf numFmtId="203" fontId="50" fillId="0" borderId="0" applyFont="0" applyFill="0" applyBorder="0" applyAlignment="0" applyProtection="0"/>
    <xf numFmtId="204" fontId="49" fillId="0" borderId="0" applyFont="0" applyFill="0" applyBorder="0" applyAlignment="0" applyProtection="0"/>
    <xf numFmtId="205" fontId="48" fillId="0" borderId="0" applyFont="0" applyFill="0" applyBorder="0" applyAlignment="0" applyProtection="0"/>
    <xf numFmtId="206" fontId="50" fillId="0" borderId="0" applyFont="0" applyFill="0" applyBorder="0" applyAlignment="0" applyProtection="0"/>
    <xf numFmtId="207" fontId="50" fillId="0" borderId="0" applyFont="0" applyFill="0" applyBorder="0" applyAlignment="0" applyProtection="0"/>
    <xf numFmtId="208" fontId="48" fillId="0" borderId="0" applyFont="0" applyFill="0" applyBorder="0" applyAlignment="0" applyProtection="0"/>
    <xf numFmtId="209" fontId="50" fillId="0" borderId="0" applyFont="0" applyFill="0" applyBorder="0" applyAlignment="0" applyProtection="0"/>
    <xf numFmtId="210" fontId="52" fillId="0" borderId="0" applyFont="0" applyFill="0" applyBorder="0" applyAlignment="0" applyProtection="0"/>
    <xf numFmtId="0" fontId="52" fillId="0" borderId="0" applyFont="0" applyFill="0" applyBorder="0" applyAlignment="0" applyProtection="0"/>
    <xf numFmtId="211" fontId="51" fillId="0" borderId="0" applyFill="0" applyBorder="0" applyProtection="0"/>
    <xf numFmtId="211" fontId="51" fillId="0" borderId="17" applyFill="0" applyProtection="0"/>
    <xf numFmtId="211" fontId="51" fillId="0" borderId="18" applyFill="0" applyProtection="0"/>
    <xf numFmtId="172" fontId="8" fillId="0" borderId="0" applyFont="0" applyFill="0" applyBorder="0" applyAlignment="0" applyProtection="0"/>
    <xf numFmtId="212" fontId="8" fillId="0" borderId="0" applyFont="0" applyFill="0" applyBorder="0" applyAlignment="0" applyProtection="0"/>
    <xf numFmtId="0" fontId="55" fillId="0" borderId="0">
      <protection locked="0"/>
    </xf>
    <xf numFmtId="213" fontId="56" fillId="0" borderId="0">
      <protection locked="0"/>
    </xf>
    <xf numFmtId="213" fontId="56" fillId="0" borderId="0">
      <protection locked="0"/>
    </xf>
    <xf numFmtId="0" fontId="57" fillId="0" borderId="0" applyNumberFormat="0" applyFill="0" applyBorder="0" applyAlignment="0" applyProtection="0"/>
    <xf numFmtId="214" fontId="8" fillId="0" borderId="0" applyFont="0" applyFill="0" applyBorder="0" applyAlignment="0" applyProtection="0"/>
    <xf numFmtId="0" fontId="58"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2" fillId="0" borderId="0" applyFont="0" applyFill="0" applyBorder="0" applyAlignment="0" applyProtection="0"/>
    <xf numFmtId="2" fontId="52" fillId="0" borderId="0" applyFont="0" applyFill="0" applyBorder="0" applyAlignment="0" applyProtection="0"/>
    <xf numFmtId="4" fontId="55" fillId="0" borderId="0">
      <protection locked="0"/>
    </xf>
    <xf numFmtId="2" fontId="52" fillId="0" borderId="0" applyFont="0" applyFill="0" applyBorder="0" applyAlignment="0" applyProtection="0"/>
    <xf numFmtId="0" fontId="59" fillId="43" borderId="0" applyNumberFormat="0" applyBorder="0" applyAlignment="0" applyProtection="0"/>
    <xf numFmtId="38" fontId="60" fillId="60" borderId="0" applyNumberFormat="0" applyBorder="0" applyAlignment="0" applyProtection="0"/>
    <xf numFmtId="0" fontId="61" fillId="60" borderId="0" applyNumberFormat="0" applyBorder="0" applyAlignment="0" applyProtection="0"/>
    <xf numFmtId="0" fontId="57" fillId="0" borderId="10" applyNumberFormat="0" applyAlignment="0" applyProtection="0">
      <alignment horizontal="left" vertical="center"/>
    </xf>
    <xf numFmtId="0" fontId="57" fillId="0" borderId="12">
      <alignment horizontal="left" vertical="center"/>
    </xf>
    <xf numFmtId="14" fontId="42" fillId="61" borderId="19">
      <alignment horizontal="center" vertical="center" wrapText="1"/>
    </xf>
    <xf numFmtId="0" fontId="39" fillId="0" borderId="0" applyNumberFormat="0" applyFill="0" applyBorder="0" applyAlignment="0" applyProtection="0"/>
    <xf numFmtId="0" fontId="40" fillId="0" borderId="0" applyNumberFormat="0" applyFill="0" applyBorder="0" applyAlignment="0" applyProtection="0"/>
    <xf numFmtId="0" fontId="62" fillId="0" borderId="20" applyNumberFormat="0" applyFill="0" applyAlignment="0" applyProtection="0"/>
    <xf numFmtId="0" fontId="62" fillId="0" borderId="0" applyNumberFormat="0" applyFill="0" applyBorder="0" applyAlignment="0" applyProtection="0"/>
    <xf numFmtId="0" fontId="43" fillId="0" borderId="0" applyFill="0" applyAlignment="0" applyProtection="0">
      <protection locked="0"/>
    </xf>
    <xf numFmtId="0" fontId="43" fillId="0" borderId="11" applyFill="0" applyAlignment="0" applyProtection="0">
      <protection locked="0"/>
    </xf>
    <xf numFmtId="0" fontId="8" fillId="0" borderId="0">
      <protection locked="0"/>
    </xf>
    <xf numFmtId="0" fontId="8" fillId="0" borderId="0">
      <protection locked="0"/>
    </xf>
    <xf numFmtId="10" fontId="60" fillId="62" borderId="14" applyNumberFormat="0" applyBorder="0" applyAlignment="0" applyProtection="0"/>
    <xf numFmtId="0" fontId="63" fillId="46" borderId="15" applyNumberFormat="0" applyAlignment="0" applyProtection="0"/>
    <xf numFmtId="215" fontId="64" fillId="40" borderId="0" applyFont="0" applyFill="0" applyBorder="0" applyAlignment="0" applyProtection="0">
      <alignment horizontal="center"/>
    </xf>
    <xf numFmtId="0" fontId="65" fillId="0" borderId="21" applyNumberFormat="0" applyFill="0" applyAlignment="0" applyProtection="0"/>
    <xf numFmtId="0" fontId="66" fillId="62" borderId="0" applyNumberFormat="0" applyFont="0" applyFill="0" applyBorder="0" applyProtection="0">
      <alignment vertical="top" wrapText="1"/>
      <protection locked="0"/>
    </xf>
    <xf numFmtId="0" fontId="67" fillId="0" borderId="0" applyNumberFormat="0" applyFont="0" applyFill="0" applyBorder="0" applyProtection="0">
      <alignment vertical="top" wrapText="1"/>
    </xf>
    <xf numFmtId="0" fontId="53" fillId="0" borderId="0" applyFill="0" applyBorder="0" applyAlignment="0" applyProtection="0"/>
    <xf numFmtId="3" fontId="8" fillId="0" borderId="0"/>
    <xf numFmtId="37" fontId="66" fillId="62" borderId="0" applyFont="0" applyFill="0" applyProtection="0">
      <alignment vertical="top"/>
      <protection locked="0"/>
    </xf>
    <xf numFmtId="166" fontId="7" fillId="0" borderId="0" applyFont="0" applyFill="0" applyBorder="0" applyAlignment="0" applyProtection="0"/>
    <xf numFmtId="216" fontId="8" fillId="0" borderId="0" applyFont="0" applyFill="0" applyBorder="0" applyAlignment="0" applyProtection="0"/>
    <xf numFmtId="217" fontId="55" fillId="0" borderId="0">
      <protection locked="0"/>
    </xf>
    <xf numFmtId="210" fontId="52" fillId="0" borderId="0" applyFont="0" applyFill="0" applyBorder="0" applyAlignment="0" applyProtection="0"/>
    <xf numFmtId="0" fontId="35" fillId="0" borderId="0"/>
    <xf numFmtId="181" fontId="64" fillId="0" borderId="0"/>
    <xf numFmtId="218" fontId="68" fillId="0" borderId="0"/>
    <xf numFmtId="0" fontId="13" fillId="0" borderId="0"/>
    <xf numFmtId="0" fontId="7" fillId="0" borderId="0"/>
    <xf numFmtId="0" fontId="13" fillId="0" borderId="0"/>
    <xf numFmtId="0" fontId="8" fillId="0" borderId="0"/>
    <xf numFmtId="0" fontId="13" fillId="0" borderId="0"/>
    <xf numFmtId="0" fontId="7" fillId="0" borderId="0"/>
    <xf numFmtId="0" fontId="7" fillId="63" borderId="22" applyNumberFormat="0" applyFont="0" applyAlignment="0" applyProtection="0"/>
    <xf numFmtId="0" fontId="69" fillId="58" borderId="23" applyNumberFormat="0" applyAlignment="0" applyProtection="0"/>
    <xf numFmtId="219" fontId="50" fillId="0" borderId="0" applyFont="0" applyFill="0" applyBorder="0" applyAlignment="0" applyProtection="0"/>
    <xf numFmtId="220" fontId="47" fillId="0" borderId="0" applyFont="0" applyFill="0" applyBorder="0" applyAlignment="0" applyProtection="0"/>
    <xf numFmtId="221" fontId="43" fillId="0" borderId="0" applyFont="0" applyFill="0" applyBorder="0" applyAlignment="0" applyProtection="0"/>
    <xf numFmtId="173" fontId="8" fillId="0" borderId="0" applyFont="0" applyFill="0" applyBorder="0" applyAlignment="0" applyProtection="0"/>
    <xf numFmtId="10" fontId="8" fillId="0" borderId="0" applyFont="0" applyFill="0" applyBorder="0" applyAlignment="0" applyProtection="0"/>
    <xf numFmtId="222" fontId="50" fillId="0" borderId="0" applyFont="0" applyFill="0" applyBorder="0" applyAlignment="0" applyProtection="0"/>
    <xf numFmtId="223" fontId="47" fillId="0" borderId="0" applyFont="0" applyFill="0" applyBorder="0" applyAlignment="0" applyProtection="0"/>
    <xf numFmtId="224" fontId="50" fillId="0" borderId="0" applyFont="0" applyFill="0" applyBorder="0" applyAlignment="0" applyProtection="0"/>
    <xf numFmtId="225" fontId="50" fillId="0" borderId="0" applyFont="0" applyFill="0" applyBorder="0" applyAlignment="0" applyProtection="0"/>
    <xf numFmtId="226" fontId="47" fillId="0" borderId="0" applyFont="0" applyFill="0" applyBorder="0" applyAlignment="0" applyProtection="0"/>
    <xf numFmtId="227" fontId="50" fillId="0" borderId="0" applyFont="0" applyFill="0" applyBorder="0" applyAlignment="0" applyProtection="0"/>
    <xf numFmtId="228" fontId="50" fillId="0" borderId="0" applyFont="0" applyFill="0" applyBorder="0" applyAlignment="0" applyProtection="0"/>
    <xf numFmtId="229" fontId="47" fillId="0" borderId="0" applyFont="0" applyFill="0" applyBorder="0" applyAlignment="0" applyProtection="0"/>
    <xf numFmtId="230" fontId="50"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70" fillId="0" borderId="0"/>
    <xf numFmtId="231" fontId="55" fillId="0" borderId="0">
      <protection locked="0"/>
    </xf>
    <xf numFmtId="0" fontId="71" fillId="0" borderId="0" applyNumberFormat="0" applyFont="0" applyFill="0" applyBorder="0" applyAlignment="0">
      <protection hidden="1"/>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19">
      <alignment horizontal="center"/>
    </xf>
    <xf numFmtId="3" fontId="72" fillId="0" borderId="0" applyFont="0" applyFill="0" applyBorder="0" applyAlignment="0" applyProtection="0"/>
    <xf numFmtId="0" fontId="72" fillId="64" borderId="0" applyNumberFormat="0" applyFont="0" applyBorder="0" applyAlignment="0" applyProtection="0"/>
    <xf numFmtId="178" fontId="8" fillId="0" borderId="0" applyFill="0" applyBorder="0" applyAlignment="0" applyProtection="0"/>
    <xf numFmtId="3" fontId="52" fillId="0" borderId="0" applyFont="0" applyFill="0" applyBorder="0" applyAlignment="0" applyProtection="0"/>
    <xf numFmtId="0" fontId="70" fillId="0" borderId="0"/>
    <xf numFmtId="0" fontId="70" fillId="0" borderId="0"/>
    <xf numFmtId="0" fontId="70" fillId="0" borderId="0"/>
    <xf numFmtId="3" fontId="8" fillId="0" borderId="0" applyFill="0" applyBorder="0" applyAlignment="0" applyProtection="0"/>
    <xf numFmtId="0" fontId="70" fillId="0" borderId="0"/>
    <xf numFmtId="181" fontId="64" fillId="0" borderId="0"/>
    <xf numFmtId="0" fontId="8" fillId="0" borderId="0">
      <alignment vertical="top"/>
    </xf>
    <xf numFmtId="0" fontId="72" fillId="0" borderId="0"/>
    <xf numFmtId="0" fontId="34" fillId="60" borderId="0" applyNumberFormat="0" applyBorder="0" applyAlignment="0" applyProtection="0"/>
    <xf numFmtId="0" fontId="43" fillId="0" borderId="0" applyFill="0" applyBorder="0" applyAlignment="0" applyProtection="0"/>
    <xf numFmtId="0" fontId="74" fillId="0" borderId="24" applyNumberFormat="0" applyFont="0" applyFill="0" applyProtection="0">
      <alignment vertical="top" wrapText="1"/>
    </xf>
    <xf numFmtId="0" fontId="75" fillId="0" borderId="0" applyFill="0" applyBorder="0" applyProtection="0">
      <alignment horizontal="left" vertical="top"/>
    </xf>
    <xf numFmtId="0" fontId="76" fillId="0" borderId="0" applyNumberForma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232" fontId="7" fillId="0" borderId="0" applyFont="0" applyFill="0" applyBorder="0" applyAlignment="0" applyProtection="0"/>
    <xf numFmtId="233" fontId="7" fillId="0" borderId="0" applyFont="0" applyFill="0" applyBorder="0" applyAlignment="0" applyProtection="0"/>
    <xf numFmtId="0" fontId="77" fillId="0" borderId="0" applyNumberFormat="0" applyFill="0" applyBorder="0" applyAlignment="0" applyProtection="0"/>
    <xf numFmtId="234" fontId="47" fillId="0" borderId="0" applyFont="0" applyFill="0" applyBorder="0" applyAlignment="0" applyProtection="0"/>
    <xf numFmtId="235" fontId="47" fillId="0" borderId="0" applyFont="0" applyFill="0" applyBorder="0" applyAlignment="0" applyProtection="0"/>
    <xf numFmtId="236" fontId="47" fillId="0" borderId="0" applyFon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1" fontId="47" fillId="0" borderId="0" applyFont="0" applyFill="0" applyBorder="0" applyAlignment="0" applyProtection="0"/>
    <xf numFmtId="0" fontId="8" fillId="0" borderId="0"/>
    <xf numFmtId="0" fontId="8" fillId="0" borderId="0"/>
    <xf numFmtId="0" fontId="8" fillId="0" borderId="0"/>
    <xf numFmtId="0" fontId="8" fillId="0" borderId="0"/>
    <xf numFmtId="166" fontId="13" fillId="0" borderId="0" applyFont="0" applyFill="0" applyBorder="0" applyAlignment="0" applyProtection="0"/>
    <xf numFmtId="166" fontId="8" fillId="0" borderId="0" applyFont="0" applyFill="0" applyBorder="0" applyAlignment="0" applyProtection="0"/>
    <xf numFmtId="0" fontId="1" fillId="0" borderId="0"/>
    <xf numFmtId="43" fontId="1" fillId="0" borderId="0" applyFont="0" applyFill="0" applyBorder="0" applyAlignment="0" applyProtection="0"/>
    <xf numFmtId="43"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58" borderId="15" applyNumberFormat="0" applyAlignment="0" applyProtection="0"/>
    <xf numFmtId="43" fontId="8" fillId="0" borderId="0" applyFont="0" applyFill="0" applyBorder="0" applyAlignment="0" applyProtection="0"/>
    <xf numFmtId="199" fontId="51" fillId="0" borderId="17" applyFill="0" applyProtection="0"/>
    <xf numFmtId="211" fontId="51" fillId="0" borderId="17" applyFill="0" applyProtection="0"/>
    <xf numFmtId="0" fontId="63" fillId="46" borderId="15" applyNumberFormat="0" applyAlignment="0" applyProtection="0"/>
    <xf numFmtId="0" fontId="7" fillId="63" borderId="22" applyNumberFormat="0" applyFont="0" applyAlignment="0" applyProtection="0"/>
    <xf numFmtId="0" fontId="69" fillId="58" borderId="2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165" fontId="8" fillId="0" borderId="0" applyFont="0" applyFill="0" applyBorder="0" applyAlignment="0" applyProtection="0"/>
    <xf numFmtId="0" fontId="1" fillId="0" borderId="0"/>
    <xf numFmtId="181" fontId="64" fillId="0" borderId="0"/>
    <xf numFmtId="0" fontId="1" fillId="0" borderId="0"/>
    <xf numFmtId="0" fontId="1" fillId="0" borderId="0"/>
    <xf numFmtId="0" fontId="1" fillId="0" borderId="0"/>
    <xf numFmtId="166" fontId="8" fillId="0" borderId="0" applyFont="0" applyFill="0" applyBorder="0" applyAlignment="0" applyProtection="0"/>
    <xf numFmtId="166" fontId="1" fillId="0" borderId="0" applyFont="0" applyFill="0" applyBorder="0" applyAlignment="0" applyProtection="0"/>
    <xf numFmtId="0" fontId="1" fillId="0" borderId="0"/>
    <xf numFmtId="166" fontId="8" fillId="0" borderId="0" applyFont="0" applyFill="0" applyBorder="0" applyAlignment="0" applyProtection="0"/>
    <xf numFmtId="166" fontId="8" fillId="0" borderId="0" applyFont="0" applyFill="0" applyBorder="0" applyAlignment="0" applyProtection="0"/>
    <xf numFmtId="0" fontId="78" fillId="0" borderId="0" applyAlignment="0">
      <alignment vertical="top" wrapText="1"/>
      <protection locked="0"/>
    </xf>
    <xf numFmtId="0" fontId="79" fillId="0" borderId="0"/>
    <xf numFmtId="9" fontId="8" fillId="0" borderId="0" applyFont="0" applyFill="0" applyBorder="0" applyAlignment="0" applyProtection="0"/>
    <xf numFmtId="166" fontId="8" fillId="0" borderId="0" applyFont="0" applyFill="0" applyBorder="0" applyAlignment="0" applyProtection="0"/>
    <xf numFmtId="0" fontId="8" fillId="0" borderId="0"/>
    <xf numFmtId="165"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0" fillId="65" borderId="0" applyNumberFormat="0" applyBorder="0" applyAlignment="0" applyProtection="0"/>
    <xf numFmtId="0" fontId="81" fillId="0" borderId="25"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 fillId="0" borderId="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 fillId="0" borderId="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1" fillId="0" borderId="25" applyNumberFormat="0" applyFill="0" applyAlignment="0" applyProtection="0"/>
    <xf numFmtId="43" fontId="7"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0" fontId="81" fillId="0" borderId="25" applyNumberFormat="0" applyFill="0" applyAlignment="0" applyProtection="0"/>
    <xf numFmtId="0" fontId="8" fillId="0" borderId="0"/>
    <xf numFmtId="43"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 fillId="0" borderId="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0" fontId="8" fillId="0" borderId="0"/>
    <xf numFmtId="43"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2"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37" fontId="64" fillId="0" borderId="0"/>
    <xf numFmtId="41" fontId="83" fillId="0" borderId="0" applyFont="0" applyFill="0" applyBorder="0" applyAlignment="0" applyProtection="0"/>
    <xf numFmtId="9" fontId="83"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57" fillId="0" borderId="26" applyNumberFormat="0" applyAlignment="0" applyProtection="0">
      <alignment horizontal="left" vertical="center"/>
    </xf>
    <xf numFmtId="14" fontId="42" fillId="61" borderId="27">
      <alignment horizontal="center" vertical="center" wrapText="1"/>
    </xf>
    <xf numFmtId="0" fontId="62" fillId="0" borderId="28"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4" fontId="42" fillId="61" borderId="27">
      <alignment horizontal="center" vertical="center"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10" borderId="0" applyNumberFormat="0" applyBorder="0" applyAlignment="0" applyProtection="0"/>
    <xf numFmtId="0" fontId="8" fillId="0" borderId="0"/>
    <xf numFmtId="0" fontId="13" fillId="0" borderId="0"/>
    <xf numFmtId="0" fontId="7" fillId="0" borderId="0"/>
    <xf numFmtId="0" fontId="8" fillId="0" borderId="0"/>
    <xf numFmtId="0" fontId="8" fillId="0" borderId="0"/>
    <xf numFmtId="231" fontId="55" fillId="0" borderId="0">
      <protection locked="0"/>
    </xf>
    <xf numFmtId="0" fontId="73" fillId="0" borderId="27">
      <alignment horizontal="center"/>
    </xf>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0" fontId="8" fillId="0" borderId="0"/>
    <xf numFmtId="165" fontId="1" fillId="0" borderId="0" applyFont="0" applyFill="0" applyBorder="0" applyAlignment="0" applyProtection="0"/>
    <xf numFmtId="165"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1" fillId="0" borderId="25"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166"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5" fontId="1" fillId="0" borderId="0" applyFont="0" applyFill="0" applyBorder="0" applyAlignment="0" applyProtection="0"/>
    <xf numFmtId="0" fontId="41" fillId="58" borderId="15" applyNumberFormat="0" applyAlignment="0" applyProtection="0"/>
    <xf numFmtId="0" fontId="41" fillId="58" borderId="15"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63" fillId="46" borderId="15" applyNumberFormat="0" applyAlignment="0" applyProtection="0"/>
    <xf numFmtId="0" fontId="63" fillId="46" borderId="15" applyNumberFormat="0" applyAlignment="0" applyProtection="0"/>
    <xf numFmtId="0" fontId="57" fillId="0" borderId="12">
      <alignment horizontal="left" vertical="center"/>
    </xf>
    <xf numFmtId="211" fontId="51" fillId="0" borderId="17" applyFill="0" applyProtection="0"/>
    <xf numFmtId="211" fontId="51" fillId="0" borderId="17" applyFill="0" applyProtection="0"/>
    <xf numFmtId="199" fontId="51" fillId="0" borderId="17" applyFill="0" applyProtection="0"/>
    <xf numFmtId="199" fontId="51" fillId="0" borderId="17" applyFill="0" applyProtection="0"/>
    <xf numFmtId="0" fontId="41" fillId="58" borderId="15" applyNumberFormat="0" applyAlignment="0" applyProtection="0"/>
    <xf numFmtId="0" fontId="41" fillId="58" borderId="15" applyNumberFormat="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166" fontId="1" fillId="0" borderId="0" applyFont="0" applyFill="0" applyBorder="0" applyAlignment="0" applyProtection="0"/>
    <xf numFmtId="0" fontId="73" fillId="0" borderId="19">
      <alignment horizontal="center"/>
    </xf>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0" fontId="41" fillId="58" borderId="15" applyNumberFormat="0" applyAlignment="0" applyProtection="0"/>
    <xf numFmtId="0" fontId="41" fillId="58" borderId="15"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0" fontId="57" fillId="0" borderId="26" applyNumberFormat="0" applyAlignment="0" applyProtection="0">
      <alignment horizontal="left" vertical="center"/>
    </xf>
    <xf numFmtId="0" fontId="73" fillId="0" borderId="27">
      <alignment horizontal="center"/>
    </xf>
    <xf numFmtId="0" fontId="57" fillId="0" borderId="26" applyNumberFormat="0" applyAlignment="0" applyProtection="0">
      <alignment horizontal="left" vertical="center"/>
    </xf>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5" fontId="1" fillId="0" borderId="0" applyFont="0" applyFill="0" applyBorder="0" applyAlignment="0" applyProtection="0"/>
    <xf numFmtId="166" fontId="8" fillId="0" borderId="0" applyFont="0" applyFill="0" applyBorder="0" applyAlignment="0" applyProtection="0"/>
    <xf numFmtId="165" fontId="1" fillId="0" borderId="0" applyFont="0" applyFill="0" applyBorder="0" applyAlignment="0" applyProtection="0"/>
    <xf numFmtId="0" fontId="57" fillId="0" borderId="32" applyNumberFormat="0" applyAlignment="0" applyProtection="0">
      <alignment horizontal="left" vertical="center"/>
    </xf>
    <xf numFmtId="166" fontId="13" fillId="0" borderId="0" applyFont="0" applyFill="0" applyBorder="0" applyAlignment="0" applyProtection="0"/>
    <xf numFmtId="0" fontId="57" fillId="0" borderId="32" applyNumberFormat="0" applyAlignment="0" applyProtection="0">
      <alignment horizontal="left" vertical="center"/>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57" fillId="0" borderId="29"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57" fillId="0" borderId="32" applyNumberFormat="0" applyAlignment="0" applyProtection="0">
      <alignment horizontal="left" vertical="center"/>
    </xf>
    <xf numFmtId="14" fontId="42" fillId="61" borderId="30">
      <alignment horizontal="center" vertical="center" wrapText="1"/>
    </xf>
    <xf numFmtId="0" fontId="57" fillId="0" borderId="33" applyNumberFormat="0" applyAlignment="0" applyProtection="0">
      <alignment horizontal="left" vertical="center"/>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57" fillId="0" borderId="34" applyNumberFormat="0" applyAlignment="0" applyProtection="0">
      <alignment horizontal="left" vertical="center"/>
    </xf>
    <xf numFmtId="14" fontId="42" fillId="61" borderId="30">
      <alignment horizontal="center" vertical="center" wrapText="1"/>
    </xf>
    <xf numFmtId="14" fontId="42" fillId="61" borderId="30">
      <alignment horizontal="center" vertical="center" wrapText="1"/>
    </xf>
    <xf numFmtId="0" fontId="57" fillId="0" borderId="33" applyNumberFormat="0" applyAlignment="0" applyProtection="0">
      <alignment horizontal="left" vertical="center"/>
    </xf>
    <xf numFmtId="0" fontId="73" fillId="0" borderId="30">
      <alignment horizontal="center"/>
    </xf>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7" fillId="0" borderId="33" applyNumberFormat="0" applyAlignment="0" applyProtection="0">
      <alignment horizontal="left" vertical="center"/>
    </xf>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62" fillId="0" borderId="31"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62" fillId="0" borderId="31"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0" fontId="57" fillId="0" borderId="29" applyNumberFormat="0" applyAlignment="0" applyProtection="0">
      <alignment horizontal="left" vertical="center"/>
    </xf>
    <xf numFmtId="0" fontId="73" fillId="0" borderId="30">
      <alignment horizontal="center"/>
    </xf>
    <xf numFmtId="0" fontId="57" fillId="0" borderId="29" applyNumberFormat="0" applyAlignment="0" applyProtection="0">
      <alignment horizontal="left" vertical="center"/>
    </xf>
  </cellStyleXfs>
  <cellXfs count="144">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9" fontId="2" fillId="2" borderId="0" xfId="0" applyNumberFormat="1" applyFont="1" applyFill="1"/>
    <xf numFmtId="170" fontId="2" fillId="2" borderId="0" xfId="0" applyNumberFormat="1" applyFont="1" applyFill="1" applyAlignment="1">
      <alignment horizontal="right" vertical="center"/>
    </xf>
    <xf numFmtId="170" fontId="4" fillId="5" borderId="0" xfId="0" applyNumberFormat="1" applyFont="1" applyFill="1"/>
    <xf numFmtId="169" fontId="4" fillId="4" borderId="0" xfId="0" applyNumberFormat="1" applyFont="1" applyFill="1"/>
    <xf numFmtId="0" fontId="5" fillId="6" borderId="0" xfId="0" applyFont="1" applyFill="1"/>
    <xf numFmtId="0" fontId="2" fillId="6" borderId="0" xfId="0" applyFont="1" applyFill="1"/>
    <xf numFmtId="171" fontId="2" fillId="2" borderId="0" xfId="1" applyNumberFormat="1" applyFont="1" applyFill="1"/>
    <xf numFmtId="171" fontId="2" fillId="3" borderId="0" xfId="1" applyNumberFormat="1" applyFont="1" applyFill="1"/>
    <xf numFmtId="171" fontId="4" fillId="5" borderId="0" xfId="1" applyNumberFormat="1" applyFont="1" applyFill="1"/>
    <xf numFmtId="170" fontId="4" fillId="4" borderId="0" xfId="0" applyNumberFormat="1" applyFont="1" applyFill="1"/>
    <xf numFmtId="169" fontId="2" fillId="2" borderId="0" xfId="1" applyNumberFormat="1" applyFont="1" applyFill="1" applyBorder="1" applyAlignment="1">
      <alignment horizontal="right" vertical="center"/>
    </xf>
    <xf numFmtId="169" fontId="4" fillId="5" borderId="0" xfId="1" applyNumberFormat="1" applyFont="1" applyFill="1"/>
    <xf numFmtId="0" fontId="6" fillId="7" borderId="0" xfId="0" applyFont="1" applyFill="1"/>
    <xf numFmtId="170" fontId="6" fillId="7" borderId="0" xfId="0" applyNumberFormat="1" applyFont="1" applyFill="1" applyAlignment="1">
      <alignment horizontal="right" vertical="center"/>
    </xf>
    <xf numFmtId="169" fontId="2" fillId="3" borderId="0" xfId="1" applyNumberFormat="1" applyFont="1" applyFill="1"/>
    <xf numFmtId="169" fontId="6" fillId="7" borderId="0" xfId="1" applyNumberFormat="1" applyFont="1" applyFill="1" applyBorder="1" applyAlignment="1">
      <alignment horizontal="right" vertical="center"/>
    </xf>
    <xf numFmtId="172" fontId="4" fillId="5" borderId="0" xfId="0" applyNumberFormat="1" applyFont="1" applyFill="1"/>
    <xf numFmtId="172" fontId="2" fillId="2" borderId="0" xfId="0" applyNumberFormat="1" applyFont="1" applyFill="1" applyAlignment="1">
      <alignment horizontal="right" vertical="center"/>
    </xf>
    <xf numFmtId="172" fontId="2" fillId="3" borderId="0" xfId="0" applyNumberFormat="1" applyFont="1" applyFill="1"/>
    <xf numFmtId="172" fontId="6" fillId="7" borderId="0" xfId="0" applyNumberFormat="1" applyFont="1" applyFill="1" applyAlignment="1">
      <alignment horizontal="right" vertical="center"/>
    </xf>
    <xf numFmtId="0" fontId="6" fillId="2" borderId="0" xfId="0" applyFont="1" applyFill="1"/>
    <xf numFmtId="172" fontId="6" fillId="2" borderId="0" xfId="0" applyNumberFormat="1" applyFont="1" applyFill="1" applyAlignment="1">
      <alignment horizontal="right" vertical="center"/>
    </xf>
    <xf numFmtId="1" fontId="2" fillId="2" borderId="0" xfId="0" applyNumberFormat="1" applyFont="1" applyFill="1" applyAlignment="1">
      <alignment horizontal="right" vertical="center"/>
    </xf>
    <xf numFmtId="1" fontId="6" fillId="2" borderId="0" xfId="0" applyNumberFormat="1" applyFont="1" applyFill="1" applyAlignment="1">
      <alignment horizontal="right" vertical="center"/>
    </xf>
    <xf numFmtId="169" fontId="4" fillId="5" borderId="0" xfId="0" applyNumberFormat="1" applyFont="1" applyFill="1"/>
    <xf numFmtId="169" fontId="2" fillId="3" borderId="0" xfId="0" applyNumberFormat="1" applyFont="1" applyFill="1"/>
    <xf numFmtId="169" fontId="2" fillId="2" borderId="0" xfId="0" applyNumberFormat="1" applyFont="1" applyFill="1" applyAlignment="1">
      <alignment horizontal="right" vertical="center"/>
    </xf>
    <xf numFmtId="169" fontId="6" fillId="7" borderId="0" xfId="0" applyNumberFormat="1" applyFont="1" applyFill="1" applyAlignment="1">
      <alignment horizontal="right" vertical="center"/>
    </xf>
    <xf numFmtId="173" fontId="2" fillId="2" borderId="0" xfId="2" applyNumberFormat="1" applyFont="1" applyFill="1"/>
    <xf numFmtId="173" fontId="2" fillId="2" borderId="0" xfId="2" applyNumberFormat="1" applyFont="1" applyFill="1" applyBorder="1" applyAlignment="1">
      <alignment horizontal="right" vertical="center"/>
    </xf>
    <xf numFmtId="173" fontId="4" fillId="5" borderId="0" xfId="2" applyNumberFormat="1" applyFont="1" applyFill="1"/>
    <xf numFmtId="173" fontId="2" fillId="3" borderId="0" xfId="0" applyNumberFormat="1" applyFont="1" applyFill="1"/>
    <xf numFmtId="173" fontId="2" fillId="3" borderId="0" xfId="2" applyNumberFormat="1" applyFont="1" applyFill="1"/>
    <xf numFmtId="0" fontId="4" fillId="3" borderId="0" xfId="0" applyFont="1" applyFill="1" applyAlignment="1">
      <alignment horizontal="left"/>
    </xf>
    <xf numFmtId="170" fontId="4" fillId="3" borderId="0" xfId="0" applyNumberFormat="1" applyFont="1" applyFill="1"/>
    <xf numFmtId="173" fontId="4" fillId="3" borderId="0" xfId="2" applyNumberFormat="1" applyFont="1" applyFill="1"/>
    <xf numFmtId="170" fontId="2" fillId="2" borderId="0" xfId="0" applyNumberFormat="1" applyFont="1" applyFill="1"/>
    <xf numFmtId="173" fontId="2" fillId="2" borderId="0" xfId="0" applyNumberFormat="1" applyFont="1" applyFill="1" applyAlignment="1">
      <alignment horizontal="right" vertical="center"/>
    </xf>
    <xf numFmtId="0" fontId="9" fillId="3" borderId="0" xfId="0" applyFont="1" applyFill="1"/>
    <xf numFmtId="166" fontId="2" fillId="3" borderId="0" xfId="0" applyNumberFormat="1" applyFont="1" applyFill="1"/>
    <xf numFmtId="173" fontId="2" fillId="2" borderId="0" xfId="2" applyNumberFormat="1" applyFont="1" applyFill="1" applyAlignment="1">
      <alignment horizontal="right"/>
    </xf>
    <xf numFmtId="173" fontId="4" fillId="4" borderId="0" xfId="2" applyNumberFormat="1" applyFont="1" applyFill="1" applyAlignment="1">
      <alignment horizontal="right"/>
    </xf>
    <xf numFmtId="174" fontId="2" fillId="3" borderId="0" xfId="0" applyNumberFormat="1" applyFont="1" applyFill="1"/>
    <xf numFmtId="170" fontId="2" fillId="3" borderId="0" xfId="0" applyNumberFormat="1" applyFont="1" applyFill="1"/>
    <xf numFmtId="175" fontId="2" fillId="3" borderId="0" xfId="0" applyNumberFormat="1" applyFont="1" applyFill="1"/>
    <xf numFmtId="9" fontId="2" fillId="3" borderId="0" xfId="2" applyFont="1" applyFill="1"/>
    <xf numFmtId="173" fontId="6" fillId="7" borderId="0" xfId="2" applyNumberFormat="1" applyFont="1" applyFill="1" applyAlignment="1">
      <alignment horizontal="right"/>
    </xf>
    <xf numFmtId="165" fontId="2" fillId="2" borderId="0" xfId="1" applyFont="1" applyFill="1"/>
    <xf numFmtId="0" fontId="2" fillId="3" borderId="0" xfId="0" applyFont="1" applyFill="1" applyAlignment="1">
      <alignment horizontal="center"/>
    </xf>
    <xf numFmtId="0" fontId="10" fillId="3" borderId="0" xfId="0" applyFont="1" applyFill="1"/>
    <xf numFmtId="3" fontId="2" fillId="2" borderId="0" xfId="0" applyNumberFormat="1" applyFont="1" applyFill="1" applyAlignment="1">
      <alignment horizontal="right" vertical="center"/>
    </xf>
    <xf numFmtId="176" fontId="2" fillId="2" borderId="0" xfId="0" applyNumberFormat="1" applyFont="1" applyFill="1"/>
    <xf numFmtId="0" fontId="4" fillId="4" borderId="0" xfId="0" applyFont="1" applyFill="1" applyAlignment="1">
      <alignment horizontal="center" vertical="center"/>
    </xf>
    <xf numFmtId="172" fontId="2" fillId="2" borderId="0" xfId="8" applyNumberFormat="1" applyFont="1" applyFill="1" applyBorder="1" applyAlignment="1">
      <alignment horizontal="center" vertical="center"/>
    </xf>
    <xf numFmtId="170" fontId="2" fillId="3" borderId="0" xfId="8" applyNumberFormat="1" applyFont="1" applyFill="1"/>
    <xf numFmtId="178" fontId="2" fillId="2" borderId="0" xfId="0" applyNumberFormat="1" applyFont="1" applyFill="1"/>
    <xf numFmtId="170" fontId="2" fillId="2" borderId="0" xfId="0" applyNumberFormat="1" applyFont="1" applyFill="1" applyAlignment="1">
      <alignment horizontal="right"/>
    </xf>
    <xf numFmtId="173" fontId="2" fillId="3" borderId="0" xfId="0" applyNumberFormat="1" applyFont="1" applyFill="1" applyAlignment="1">
      <alignment horizontal="center"/>
    </xf>
    <xf numFmtId="179" fontId="2" fillId="3" borderId="0" xfId="0" applyNumberFormat="1" applyFont="1" applyFill="1"/>
    <xf numFmtId="173" fontId="4" fillId="5" borderId="0" xfId="2" applyNumberFormat="1" applyFont="1" applyFill="1" applyAlignment="1">
      <alignment horizontal="right"/>
    </xf>
    <xf numFmtId="180" fontId="11" fillId="2" borderId="0" xfId="7" applyNumberFormat="1" applyFont="1" applyFill="1"/>
    <xf numFmtId="165" fontId="11" fillId="2" borderId="0" xfId="1" applyFont="1" applyFill="1"/>
    <xf numFmtId="165" fontId="2" fillId="3" borderId="0" xfId="1" applyFont="1" applyFill="1"/>
    <xf numFmtId="173" fontId="2" fillId="3" borderId="0" xfId="0" applyNumberFormat="1" applyFont="1" applyFill="1" applyAlignment="1">
      <alignment horizontal="right"/>
    </xf>
    <xf numFmtId="0" fontId="2" fillId="3" borderId="0" xfId="0" applyFont="1" applyFill="1" applyAlignment="1">
      <alignment horizontal="center" wrapText="1"/>
    </xf>
    <xf numFmtId="3" fontId="4" fillId="5" borderId="0" xfId="0" applyNumberFormat="1" applyFont="1" applyFill="1"/>
    <xf numFmtId="170" fontId="4" fillId="5" borderId="0" xfId="0" applyNumberFormat="1" applyFont="1" applyFill="1" applyAlignment="1">
      <alignment vertical="center"/>
    </xf>
    <xf numFmtId="178" fontId="2" fillId="2" borderId="0" xfId="0" applyNumberFormat="1" applyFont="1" applyFill="1" applyAlignment="1">
      <alignment vertical="center"/>
    </xf>
    <xf numFmtId="0" fontId="2" fillId="3" borderId="0" xfId="0" applyFont="1" applyFill="1" applyAlignment="1">
      <alignment vertical="center"/>
    </xf>
    <xf numFmtId="170" fontId="2" fillId="2" borderId="0" xfId="0" applyNumberFormat="1" applyFont="1" applyFill="1" applyAlignment="1">
      <alignment vertical="center"/>
    </xf>
    <xf numFmtId="0" fontId="2" fillId="3" borderId="0" xfId="0" applyFont="1" applyFill="1" applyAlignment="1">
      <alignment horizontal="left"/>
    </xf>
    <xf numFmtId="169" fontId="2" fillId="2" borderId="0" xfId="0" applyNumberFormat="1" applyFont="1" applyFill="1" applyAlignment="1">
      <alignment vertical="center"/>
    </xf>
    <xf numFmtId="171" fontId="2" fillId="0" borderId="0" xfId="1" applyNumberFormat="1" applyFont="1" applyFill="1"/>
    <xf numFmtId="0" fontId="2" fillId="3" borderId="0" xfId="0" applyFont="1" applyFill="1" applyAlignment="1">
      <alignment horizontal="right"/>
    </xf>
    <xf numFmtId="9" fontId="2" fillId="3" borderId="0" xfId="2" applyFont="1" applyFill="1" applyAlignment="1">
      <alignment horizontal="center" wrapText="1"/>
    </xf>
    <xf numFmtId="0" fontId="2" fillId="3" borderId="0" xfId="2" applyNumberFormat="1" applyFont="1" applyFill="1"/>
    <xf numFmtId="172" fontId="6" fillId="7" borderId="0" xfId="0" applyNumberFormat="1" applyFont="1" applyFill="1" applyAlignment="1">
      <alignment horizontal="left" vertical="center"/>
    </xf>
    <xf numFmtId="165" fontId="4" fillId="5" borderId="0" xfId="0" applyNumberFormat="1" applyFont="1" applyFill="1"/>
    <xf numFmtId="0" fontId="4" fillId="4" borderId="0" xfId="0" applyFont="1" applyFill="1" applyAlignment="1">
      <alignment horizontal="left" vertical="center"/>
    </xf>
    <xf numFmtId="171" fontId="2" fillId="2" borderId="0" xfId="1" applyNumberFormat="1" applyFont="1" applyFill="1" applyAlignment="1">
      <alignment horizontal="left"/>
    </xf>
    <xf numFmtId="176" fontId="2" fillId="2" borderId="0" xfId="0" applyNumberFormat="1" applyFont="1" applyFill="1" applyAlignment="1">
      <alignment horizontal="right"/>
    </xf>
    <xf numFmtId="165" fontId="2" fillId="3" borderId="0" xfId="0" applyNumberFormat="1" applyFont="1" applyFill="1"/>
    <xf numFmtId="9" fontId="2" fillId="3" borderId="0" xfId="2" applyFont="1" applyFill="1" applyAlignment="1">
      <alignment horizontal="right"/>
    </xf>
    <xf numFmtId="171" fontId="2" fillId="2" borderId="0" xfId="1" applyNumberFormat="1" applyFont="1" applyFill="1" applyBorder="1"/>
    <xf numFmtId="9" fontId="2" fillId="3" borderId="0" xfId="0" applyNumberFormat="1" applyFont="1" applyFill="1"/>
    <xf numFmtId="169" fontId="2" fillId="3" borderId="0" xfId="0" applyNumberFormat="1" applyFont="1" applyFill="1" applyAlignment="1">
      <alignment horizontal="right"/>
    </xf>
    <xf numFmtId="170" fontId="4" fillId="3" borderId="0" xfId="0" applyNumberFormat="1" applyFont="1" applyFill="1" applyAlignment="1">
      <alignment horizontal="right"/>
    </xf>
    <xf numFmtId="0" fontId="10" fillId="3" borderId="0" xfId="0" applyFont="1" applyFill="1" applyAlignment="1">
      <alignment horizontal="center" wrapText="1"/>
    </xf>
    <xf numFmtId="242" fontId="2" fillId="3" borderId="0" xfId="0" applyNumberFormat="1" applyFont="1" applyFill="1"/>
    <xf numFmtId="173" fontId="6" fillId="2" borderId="0" xfId="2" applyNumberFormat="1" applyFont="1" applyFill="1" applyAlignment="1">
      <alignment horizontal="right"/>
    </xf>
    <xf numFmtId="172" fontId="2" fillId="3" borderId="0" xfId="8" applyNumberFormat="1" applyFont="1" applyFill="1" applyAlignment="1">
      <alignment horizontal="right" vertical="center"/>
    </xf>
    <xf numFmtId="0" fontId="84" fillId="5" borderId="0" xfId="0" applyFont="1" applyFill="1" applyAlignment="1">
      <alignment horizontal="left"/>
    </xf>
    <xf numFmtId="170" fontId="84" fillId="5" borderId="0" xfId="0" applyNumberFormat="1" applyFont="1" applyFill="1"/>
    <xf numFmtId="173" fontId="84" fillId="5" borderId="0" xfId="2" applyNumberFormat="1" applyFont="1" applyFill="1"/>
    <xf numFmtId="170" fontId="84" fillId="5" borderId="0" xfId="0" applyNumberFormat="1" applyFont="1" applyFill="1" applyAlignment="1">
      <alignment horizontal="right"/>
    </xf>
    <xf numFmtId="173" fontId="84" fillId="5" borderId="0" xfId="2" applyNumberFormat="1" applyFont="1" applyFill="1" applyAlignment="1">
      <alignment horizontal="right" vertical="center"/>
    </xf>
    <xf numFmtId="173" fontId="84" fillId="5" borderId="0" xfId="2" applyNumberFormat="1" applyFont="1" applyFill="1" applyAlignment="1">
      <alignment horizontal="right"/>
    </xf>
    <xf numFmtId="169" fontId="84" fillId="5" borderId="0" xfId="0" applyNumberFormat="1" applyFont="1" applyFill="1"/>
    <xf numFmtId="0" fontId="84" fillId="3" borderId="0" xfId="0" applyFont="1" applyFill="1" applyAlignment="1">
      <alignment horizontal="left"/>
    </xf>
    <xf numFmtId="170" fontId="84" fillId="3" borderId="0" xfId="0" applyNumberFormat="1" applyFont="1" applyFill="1"/>
    <xf numFmtId="169" fontId="84" fillId="3" borderId="0" xfId="0" applyNumberFormat="1" applyFont="1" applyFill="1"/>
    <xf numFmtId="0" fontId="84" fillId="5" borderId="0" xfId="0" applyFont="1" applyFill="1"/>
    <xf numFmtId="3" fontId="4" fillId="5" borderId="0" xfId="0" applyNumberFormat="1" applyFont="1" applyFill="1" applyAlignment="1">
      <alignment horizontal="right"/>
    </xf>
    <xf numFmtId="172" fontId="4" fillId="5" borderId="0" xfId="0" applyNumberFormat="1" applyFont="1" applyFill="1" applyAlignment="1">
      <alignment horizontal="right"/>
    </xf>
    <xf numFmtId="9" fontId="2" fillId="2" borderId="0" xfId="2" applyFont="1" applyFill="1" applyAlignment="1">
      <alignment horizontal="right" vertical="center"/>
    </xf>
    <xf numFmtId="9" fontId="2" fillId="2" borderId="0" xfId="2" applyFont="1" applyFill="1" applyBorder="1" applyAlignment="1">
      <alignment horizontal="right" vertical="center"/>
    </xf>
    <xf numFmtId="9" fontId="6" fillId="7" borderId="0" xfId="2" applyFont="1" applyFill="1" applyAlignment="1">
      <alignment horizontal="right" vertical="center"/>
    </xf>
    <xf numFmtId="171" fontId="2" fillId="2" borderId="0" xfId="1" applyNumberFormat="1" applyFont="1" applyFill="1" applyAlignment="1">
      <alignment horizontal="right"/>
    </xf>
    <xf numFmtId="165" fontId="2" fillId="2" borderId="0" xfId="1" applyFont="1" applyFill="1" applyAlignment="1">
      <alignment horizontal="right"/>
    </xf>
    <xf numFmtId="0" fontId="4" fillId="4" borderId="0" xfId="0" applyFont="1" applyFill="1" applyAlignment="1">
      <alignment horizontal="right" vertical="center"/>
    </xf>
    <xf numFmtId="165" fontId="2" fillId="3" borderId="0" xfId="2" applyNumberFormat="1" applyFont="1" applyFill="1"/>
    <xf numFmtId="165" fontId="84" fillId="5" borderId="0" xfId="0" applyNumberFormat="1" applyFont="1" applyFill="1"/>
    <xf numFmtId="165" fontId="2" fillId="0" borderId="0" xfId="1" applyFont="1" applyFill="1"/>
    <xf numFmtId="165" fontId="2" fillId="2" borderId="0" xfId="1" applyFont="1" applyFill="1" applyBorder="1"/>
    <xf numFmtId="243" fontId="2" fillId="3" borderId="0" xfId="0" applyNumberFormat="1" applyFont="1" applyFill="1"/>
    <xf numFmtId="165" fontId="2" fillId="6" borderId="0" xfId="0" applyNumberFormat="1" applyFont="1" applyFill="1"/>
    <xf numFmtId="3" fontId="85" fillId="66" borderId="0" xfId="0" applyNumberFormat="1" applyFont="1" applyFill="1" applyAlignment="1">
      <alignment horizontal="right"/>
    </xf>
    <xf numFmtId="0" fontId="85" fillId="66" borderId="0" xfId="0" applyFont="1" applyFill="1" applyAlignment="1">
      <alignment horizontal="right"/>
    </xf>
    <xf numFmtId="165" fontId="4" fillId="5" borderId="0" xfId="0" applyNumberFormat="1" applyFont="1" applyFill="1" applyAlignment="1">
      <alignment horizontal="right"/>
    </xf>
    <xf numFmtId="9" fontId="4" fillId="5" borderId="0" xfId="0" applyNumberFormat="1" applyFont="1" applyFill="1" applyAlignment="1">
      <alignment horizontal="right"/>
    </xf>
    <xf numFmtId="0" fontId="4" fillId="5" borderId="0" xfId="0" applyFont="1" applyFill="1" applyAlignment="1">
      <alignment horizontal="right"/>
    </xf>
    <xf numFmtId="165" fontId="4" fillId="4" borderId="0" xfId="0" applyNumberFormat="1" applyFont="1" applyFill="1" applyAlignment="1">
      <alignment horizontal="right" vertical="center"/>
    </xf>
    <xf numFmtId="9" fontId="4" fillId="4" borderId="0" xfId="0" applyNumberFormat="1" applyFont="1" applyFill="1" applyAlignment="1">
      <alignment horizontal="right" vertical="center"/>
    </xf>
    <xf numFmtId="165" fontId="2" fillId="3" borderId="0" xfId="0" applyNumberFormat="1" applyFont="1" applyFill="1" applyAlignment="1">
      <alignment horizontal="right"/>
    </xf>
    <xf numFmtId="0" fontId="6" fillId="3" borderId="0" xfId="0" applyFont="1" applyFill="1"/>
    <xf numFmtId="0" fontId="86" fillId="3" borderId="0" xfId="0" applyFont="1" applyFill="1"/>
    <xf numFmtId="175" fontId="6" fillId="3" borderId="0" xfId="0" applyNumberFormat="1" applyFont="1" applyFill="1"/>
    <xf numFmtId="9" fontId="6" fillId="3" borderId="0" xfId="2" applyFont="1" applyFill="1"/>
    <xf numFmtId="0" fontId="4" fillId="4" borderId="0" xfId="0" applyFont="1" applyFill="1" applyAlignment="1">
      <alignment vertical="center"/>
    </xf>
    <xf numFmtId="165" fontId="4" fillId="4" borderId="0" xfId="0" applyNumberFormat="1" applyFont="1" applyFill="1" applyAlignment="1">
      <alignment horizontal="right" vertical="center"/>
    </xf>
    <xf numFmtId="0" fontId="4" fillId="4" borderId="0" xfId="0" applyFont="1" applyFill="1" applyAlignment="1">
      <alignment horizontal="right" vertical="center"/>
    </xf>
    <xf numFmtId="0" fontId="4" fillId="4" borderId="0" xfId="0" applyFont="1" applyFill="1" applyAlignment="1">
      <alignment horizontal="center" vertical="center"/>
    </xf>
    <xf numFmtId="0" fontId="2" fillId="3" borderId="0" xfId="0" applyFont="1" applyFill="1" applyAlignment="1">
      <alignment horizontal="left" vertical="top" wrapText="1"/>
    </xf>
    <xf numFmtId="0" fontId="2" fillId="3" borderId="0" xfId="0" applyFont="1" applyFill="1" applyAlignment="1">
      <alignment horizontal="left" vertical="center" wrapText="1"/>
    </xf>
    <xf numFmtId="0" fontId="12" fillId="3" borderId="0" xfId="0" applyFont="1" applyFill="1" applyAlignment="1">
      <alignment horizontal="left" vertical="top" wrapText="1"/>
    </xf>
    <xf numFmtId="0" fontId="4" fillId="4" borderId="0" xfId="0" applyFont="1" applyFill="1" applyAlignment="1">
      <alignment horizontal="center" vertical="center" wrapText="1"/>
    </xf>
    <xf numFmtId="0" fontId="2" fillId="3" borderId="0" xfId="0" applyFont="1" applyFill="1" applyAlignment="1">
      <alignment horizontal="left" vertical="top"/>
    </xf>
  </cellXfs>
  <cellStyles count="5184">
    <cellStyle name="_x000a_386grabber=M" xfId="66" xr:uid="{00000000-0005-0000-0000-000000000000}"/>
    <cellStyle name="=C:\WINNT\SYSTEM32\COMMAND.COM" xfId="67" xr:uid="{00000000-0005-0000-0000-000001000000}"/>
    <cellStyle name="20% - Accent1 2" xfId="68" xr:uid="{00000000-0005-0000-0000-000002000000}"/>
    <cellStyle name="20% - Accent2 2" xfId="69" xr:uid="{00000000-0005-0000-0000-000004000000}"/>
    <cellStyle name="20% - Accent3 2" xfId="70" xr:uid="{00000000-0005-0000-0000-000006000000}"/>
    <cellStyle name="20% - Accent4 2" xfId="71" xr:uid="{00000000-0005-0000-0000-000008000000}"/>
    <cellStyle name="20% - Accent5 2" xfId="72" xr:uid="{00000000-0005-0000-0000-00000A000000}"/>
    <cellStyle name="20% - Accent6 2" xfId="73" xr:uid="{00000000-0005-0000-0000-00000C000000}"/>
    <cellStyle name="20% - Énfasis1" xfId="38" builtinId="30" customBuiltin="1"/>
    <cellStyle name="20% - Énfasis2" xfId="41" builtinId="34" customBuiltin="1"/>
    <cellStyle name="20% - Énfasis3" xfId="44" builtinId="38" customBuiltin="1"/>
    <cellStyle name="20% - Énfasis4" xfId="47" builtinId="42" customBuiltin="1"/>
    <cellStyle name="20% - Énfasis5" xfId="50" builtinId="46" customBuiltin="1"/>
    <cellStyle name="20% - Énfasis6" xfId="53" builtinId="50" customBuiltin="1"/>
    <cellStyle name="40% - Accent1 2" xfId="74" xr:uid="{00000000-0005-0000-0000-000014000000}"/>
    <cellStyle name="40% - Accent2 2" xfId="75" xr:uid="{00000000-0005-0000-0000-000016000000}"/>
    <cellStyle name="40% - Accent3 2" xfId="76" xr:uid="{00000000-0005-0000-0000-000018000000}"/>
    <cellStyle name="40% - Accent4 2" xfId="77" xr:uid="{00000000-0005-0000-0000-00001A000000}"/>
    <cellStyle name="40% - Accent5 2" xfId="78" xr:uid="{00000000-0005-0000-0000-00001C000000}"/>
    <cellStyle name="40% - Accent6 2" xfId="79" xr:uid="{00000000-0005-0000-0000-00001E000000}"/>
    <cellStyle name="40% - Énfasis1" xfId="39" builtinId="31" customBuiltin="1"/>
    <cellStyle name="40% - Énfasis2" xfId="42" builtinId="35" customBuiltin="1"/>
    <cellStyle name="40% - Énfasis3" xfId="45" builtinId="39" customBuiltin="1"/>
    <cellStyle name="40% - Énfasis4" xfId="48" builtinId="43" customBuiltin="1"/>
    <cellStyle name="40% - Énfasis5" xfId="51" builtinId="47" customBuiltin="1"/>
    <cellStyle name="40% - Énfasis6" xfId="54" builtinId="51" customBuiltin="1"/>
    <cellStyle name="60% - Accent1 2" xfId="80" xr:uid="{00000000-0005-0000-0000-000026000000}"/>
    <cellStyle name="60% - Accent2 2" xfId="81" xr:uid="{00000000-0005-0000-0000-000028000000}"/>
    <cellStyle name="60% - Accent3 2" xfId="82" xr:uid="{00000000-0005-0000-0000-00002A000000}"/>
    <cellStyle name="60% - Accent4 2" xfId="83" xr:uid="{00000000-0005-0000-0000-00002C000000}"/>
    <cellStyle name="60% - Accent5 2" xfId="84" xr:uid="{00000000-0005-0000-0000-00002E000000}"/>
    <cellStyle name="60% - Accent6 2" xfId="85" xr:uid="{00000000-0005-0000-0000-000030000000}"/>
    <cellStyle name="60% - akcent 1" xfId="64" xr:uid="{00000000-0005-0000-0000-000032000000}"/>
    <cellStyle name="60% - Énfasis1" xfId="4358" builtinId="32" customBuiltin="1"/>
    <cellStyle name="60% - Énfasis1 2" xfId="591" xr:uid="{00000000-0005-0000-0000-000033000000}"/>
    <cellStyle name="60% - Énfasis1 3" xfId="58" xr:uid="{00000000-0005-0000-0000-000034000000}"/>
    <cellStyle name="60% - Énfasis2" xfId="4359" builtinId="36" customBuiltin="1"/>
    <cellStyle name="60% - Énfasis2 2" xfId="592" xr:uid="{00000000-0005-0000-0000-000035000000}"/>
    <cellStyle name="60% - Énfasis2 3" xfId="59" xr:uid="{00000000-0005-0000-0000-000036000000}"/>
    <cellStyle name="60% - Énfasis3" xfId="4360" builtinId="40" customBuiltin="1"/>
    <cellStyle name="60% - Énfasis3 2" xfId="593" xr:uid="{00000000-0005-0000-0000-000037000000}"/>
    <cellStyle name="60% - Énfasis3 3" xfId="60" xr:uid="{00000000-0005-0000-0000-000038000000}"/>
    <cellStyle name="60% - Énfasis4" xfId="4361" builtinId="44" customBuiltin="1"/>
    <cellStyle name="60% - Énfasis4 2" xfId="594" xr:uid="{00000000-0005-0000-0000-000039000000}"/>
    <cellStyle name="60% - Énfasis4 3" xfId="61" xr:uid="{00000000-0005-0000-0000-00003A000000}"/>
    <cellStyle name="60% - Énfasis5" xfId="4362" builtinId="48" customBuiltin="1"/>
    <cellStyle name="60% - Énfasis5 2" xfId="595" xr:uid="{00000000-0005-0000-0000-00003B000000}"/>
    <cellStyle name="60% - Énfasis5 3" xfId="62" xr:uid="{00000000-0005-0000-0000-00003C000000}"/>
    <cellStyle name="60% - Énfasis6" xfId="4363" builtinId="52" customBuiltin="1"/>
    <cellStyle name="60% - Énfasis6 2" xfId="596" xr:uid="{00000000-0005-0000-0000-00003D000000}"/>
    <cellStyle name="60% - Énfasis6 3" xfId="63" xr:uid="{00000000-0005-0000-0000-00003E000000}"/>
    <cellStyle name="A3 297 x 420 mm" xfId="86" xr:uid="{00000000-0005-0000-0000-00003F000000}"/>
    <cellStyle name="Accent1 2" xfId="87" xr:uid="{00000000-0005-0000-0000-000040000000}"/>
    <cellStyle name="Accent2 2" xfId="88" xr:uid="{00000000-0005-0000-0000-000042000000}"/>
    <cellStyle name="Accent3 2" xfId="89" xr:uid="{00000000-0005-0000-0000-000044000000}"/>
    <cellStyle name="Accent4 2" xfId="90" xr:uid="{00000000-0005-0000-0000-000046000000}"/>
    <cellStyle name="Accent5 2" xfId="91" xr:uid="{00000000-0005-0000-0000-000048000000}"/>
    <cellStyle name="Accent6 2" xfId="92" xr:uid="{00000000-0005-0000-0000-00004A000000}"/>
    <cellStyle name="Bad 2" xfId="93" xr:uid="{00000000-0005-0000-0000-00004C000000}"/>
    <cellStyle name="Bueno" xfId="26" builtinId="26" customBuiltin="1"/>
    <cellStyle name="Cabece - Estilo3" xfId="94" xr:uid="{00000000-0005-0000-0000-00004F000000}"/>
    <cellStyle name="Cabecera 1" xfId="95" xr:uid="{00000000-0005-0000-0000-000050000000}"/>
    <cellStyle name="Cabecera 2" xfId="96" xr:uid="{00000000-0005-0000-0000-000051000000}"/>
    <cellStyle name="Calculation 2" xfId="97" xr:uid="{00000000-0005-0000-0000-000052000000}"/>
    <cellStyle name="Calculation 2 2" xfId="771" xr:uid="{00000000-0005-0000-0000-000053000000}"/>
    <cellStyle name="Calculation 2 2 2" xfId="4709" xr:uid="{25857FF4-919E-467F-897A-97CD370105DF}"/>
    <cellStyle name="Calculation 2 2 3" xfId="4789" xr:uid="{5346804C-BB35-4F55-94FD-140DFD456D6D}"/>
    <cellStyle name="Calculation 2 2 4" xfId="4806" xr:uid="{1138AD81-B14D-48D0-B644-4818B29181FB}"/>
    <cellStyle name="Calculation 2 3" xfId="4708" xr:uid="{40B1C7EF-BA45-4B46-96D1-62B7BA6AEA1B}"/>
    <cellStyle name="Calculation 2 4" xfId="4790" xr:uid="{21F9B41B-E8DC-4294-9E8A-F79E008E3B04}"/>
    <cellStyle name="Calculation 2 5" xfId="4807" xr:uid="{223C1F02-E128-4FD5-B4C7-7FD33E6EC209}"/>
    <cellStyle name="Cálculo" xfId="30" builtinId="22" customBuiltin="1"/>
    <cellStyle name="Celda de comprobación" xfId="32" builtinId="23" customBuiltin="1"/>
    <cellStyle name="Celda vinculada" xfId="31" builtinId="24" customBuiltin="1"/>
    <cellStyle name="Centered Heading" xfId="98" xr:uid="{00000000-0005-0000-0000-000058000000}"/>
    <cellStyle name="CenterHead" xfId="99" xr:uid="{00000000-0005-0000-0000-000059000000}"/>
    <cellStyle name="Check Cell 2" xfId="100" xr:uid="{00000000-0005-0000-0000-00005A000000}"/>
    <cellStyle name="Column_Title" xfId="101" xr:uid="{00000000-0005-0000-0000-00005C000000}"/>
    <cellStyle name="Comma  - Style1" xfId="102" xr:uid="{00000000-0005-0000-0000-00005D000000}"/>
    <cellStyle name="Comma  - Style2" xfId="103" xr:uid="{00000000-0005-0000-0000-00005E000000}"/>
    <cellStyle name="Comma  - Style3" xfId="104" xr:uid="{00000000-0005-0000-0000-00005F000000}"/>
    <cellStyle name="Comma  - Style4" xfId="105" xr:uid="{00000000-0005-0000-0000-000060000000}"/>
    <cellStyle name="Comma  - Style5" xfId="106" xr:uid="{00000000-0005-0000-0000-000061000000}"/>
    <cellStyle name="Comma  - Style6" xfId="107" xr:uid="{00000000-0005-0000-0000-000062000000}"/>
    <cellStyle name="Comma  - Style7" xfId="108" xr:uid="{00000000-0005-0000-0000-000063000000}"/>
    <cellStyle name="Comma  - Style8" xfId="109" xr:uid="{00000000-0005-0000-0000-000064000000}"/>
    <cellStyle name="Comma %" xfId="110" xr:uid="{00000000-0005-0000-0000-000065000000}"/>
    <cellStyle name="Comma [0] 2" xfId="4392" xr:uid="{1A26D635-B930-486D-BA41-B95C36602B7B}"/>
    <cellStyle name="Comma [0] 3" xfId="4906" xr:uid="{336B7BBE-8216-4E74-9818-37D8335264C9}"/>
    <cellStyle name="Comma 0.0" xfId="111" xr:uid="{00000000-0005-0000-0000-000067000000}"/>
    <cellStyle name="Comma 0.0%" xfId="112" xr:uid="{00000000-0005-0000-0000-000068000000}"/>
    <cellStyle name="Comma 0.0_Caso 10" xfId="113" xr:uid="{00000000-0005-0000-0000-000069000000}"/>
    <cellStyle name="Comma 0.00" xfId="114" xr:uid="{00000000-0005-0000-0000-00006A000000}"/>
    <cellStyle name="Comma 0.00%" xfId="115" xr:uid="{00000000-0005-0000-0000-00006B000000}"/>
    <cellStyle name="Comma 0.00_Caso 10" xfId="116" xr:uid="{00000000-0005-0000-0000-00006C000000}"/>
    <cellStyle name="Comma 0.000" xfId="117" xr:uid="{00000000-0005-0000-0000-00006D000000}"/>
    <cellStyle name="Comma 0.000%" xfId="118" xr:uid="{00000000-0005-0000-0000-00006E000000}"/>
    <cellStyle name="Comma 0.000_Caso 10" xfId="119" xr:uid="{00000000-0005-0000-0000-00006F000000}"/>
    <cellStyle name="Comma 10" xfId="120" xr:uid="{00000000-0005-0000-0000-000070000000}"/>
    <cellStyle name="Comma 11" xfId="121" xr:uid="{00000000-0005-0000-0000-000071000000}"/>
    <cellStyle name="Comma 12" xfId="122" xr:uid="{00000000-0005-0000-0000-000072000000}"/>
    <cellStyle name="Comma 13" xfId="123" xr:uid="{00000000-0005-0000-0000-000073000000}"/>
    <cellStyle name="Comma 14" xfId="124" xr:uid="{00000000-0005-0000-0000-000074000000}"/>
    <cellStyle name="Comma 15" xfId="125" xr:uid="{00000000-0005-0000-0000-000075000000}"/>
    <cellStyle name="Comma 16" xfId="126" xr:uid="{00000000-0005-0000-0000-000076000000}"/>
    <cellStyle name="Comma 16 10" xfId="4910" xr:uid="{CB439FF1-CA94-4C92-85A1-F3E9E836544E}"/>
    <cellStyle name="Comma 16 2" xfId="127" xr:uid="{00000000-0005-0000-0000-000077000000}"/>
    <cellStyle name="Comma 16 2 10" xfId="772" xr:uid="{00000000-0005-0000-0000-000078000000}"/>
    <cellStyle name="Comma 16 2 10 2" xfId="2360" xr:uid="{00000000-0005-0000-0000-000079000000}"/>
    <cellStyle name="Comma 16 2 10 2 2" xfId="3942" xr:uid="{00000000-0005-0000-0000-00007A000000}"/>
    <cellStyle name="Comma 16 2 10 3" xfId="1569" xr:uid="{00000000-0005-0000-0000-00007B000000}"/>
    <cellStyle name="Comma 16 2 10 4" xfId="3151" xr:uid="{00000000-0005-0000-0000-00007C000000}"/>
    <cellStyle name="Comma 16 2 11" xfId="1965" xr:uid="{00000000-0005-0000-0000-00007D000000}"/>
    <cellStyle name="Comma 16 2 11 2" xfId="3547" xr:uid="{00000000-0005-0000-0000-00007E000000}"/>
    <cellStyle name="Comma 16 2 12" xfId="1175" xr:uid="{00000000-0005-0000-0000-00007F000000}"/>
    <cellStyle name="Comma 16 2 13" xfId="2756" xr:uid="{00000000-0005-0000-0000-000080000000}"/>
    <cellStyle name="Comma 16 2 2" xfId="294" xr:uid="{00000000-0005-0000-0000-000081000000}"/>
    <cellStyle name="Comma 16 2 2 10" xfId="1178" xr:uid="{00000000-0005-0000-0000-000082000000}"/>
    <cellStyle name="Comma 16 2 2 11" xfId="2760" xr:uid="{00000000-0005-0000-0000-000083000000}"/>
    <cellStyle name="Comma 16 2 2 2" xfId="313" xr:uid="{00000000-0005-0000-0000-000084000000}"/>
    <cellStyle name="Comma 16 2 2 2 10" xfId="2773" xr:uid="{00000000-0005-0000-0000-000085000000}"/>
    <cellStyle name="Comma 16 2 2 2 2" xfId="391" xr:uid="{00000000-0005-0000-0000-000086000000}"/>
    <cellStyle name="Comma 16 2 2 2 2 2" xfId="503" xr:uid="{00000000-0005-0000-0000-000087000000}"/>
    <cellStyle name="Comma 16 2 2 2 2 2 2" xfId="731" xr:uid="{00000000-0005-0000-0000-000088000000}"/>
    <cellStyle name="Comma 16 2 2 2 2 2 2 2" xfId="1131" xr:uid="{00000000-0005-0000-0000-000089000000}"/>
    <cellStyle name="Comma 16 2 2 2 2 2 2 2 2" xfId="2714" xr:uid="{00000000-0005-0000-0000-00008A000000}"/>
    <cellStyle name="Comma 16 2 2 2 2 2 2 2 2 2" xfId="4296" xr:uid="{00000000-0005-0000-0000-00008B000000}"/>
    <cellStyle name="Comma 16 2 2 2 2 2 2 2 3" xfId="1923" xr:uid="{00000000-0005-0000-0000-00008C000000}"/>
    <cellStyle name="Comma 16 2 2 2 2 2 2 2 4" xfId="3505" xr:uid="{00000000-0005-0000-0000-00008D000000}"/>
    <cellStyle name="Comma 16 2 2 2 2 2 2 3" xfId="2320" xr:uid="{00000000-0005-0000-0000-00008E000000}"/>
    <cellStyle name="Comma 16 2 2 2 2 2 2 3 2" xfId="3902" xr:uid="{00000000-0005-0000-0000-00008F000000}"/>
    <cellStyle name="Comma 16 2 2 2 2 2 2 4" xfId="1529" xr:uid="{00000000-0005-0000-0000-000090000000}"/>
    <cellStyle name="Comma 16 2 2 2 2 2 2 5" xfId="3111" xr:uid="{00000000-0005-0000-0000-000091000000}"/>
    <cellStyle name="Comma 16 2 2 2 2 2 3" xfId="910" xr:uid="{00000000-0005-0000-0000-000092000000}"/>
    <cellStyle name="Comma 16 2 2 2 2 2 3 2" xfId="2493" xr:uid="{00000000-0005-0000-0000-000093000000}"/>
    <cellStyle name="Comma 16 2 2 2 2 2 3 2 2" xfId="4075" xr:uid="{00000000-0005-0000-0000-000094000000}"/>
    <cellStyle name="Comma 16 2 2 2 2 2 3 3" xfId="1702" xr:uid="{00000000-0005-0000-0000-000095000000}"/>
    <cellStyle name="Comma 16 2 2 2 2 2 3 4" xfId="3284" xr:uid="{00000000-0005-0000-0000-000096000000}"/>
    <cellStyle name="Comma 16 2 2 2 2 2 4" xfId="2099" xr:uid="{00000000-0005-0000-0000-000097000000}"/>
    <cellStyle name="Comma 16 2 2 2 2 2 4 2" xfId="3681" xr:uid="{00000000-0005-0000-0000-000098000000}"/>
    <cellStyle name="Comma 16 2 2 2 2 2 5" xfId="1308" xr:uid="{00000000-0005-0000-0000-000099000000}"/>
    <cellStyle name="Comma 16 2 2 2 2 2 6" xfId="2890" xr:uid="{00000000-0005-0000-0000-00009A000000}"/>
    <cellStyle name="Comma 16 2 2 2 2 3" xfId="580" xr:uid="{00000000-0005-0000-0000-00009B000000}"/>
    <cellStyle name="Comma 16 2 2 2 2 3 2" xfId="987" xr:uid="{00000000-0005-0000-0000-00009C000000}"/>
    <cellStyle name="Comma 16 2 2 2 2 3 2 2" xfId="2570" xr:uid="{00000000-0005-0000-0000-00009D000000}"/>
    <cellStyle name="Comma 16 2 2 2 2 3 2 2 2" xfId="4152" xr:uid="{00000000-0005-0000-0000-00009E000000}"/>
    <cellStyle name="Comma 16 2 2 2 2 3 2 3" xfId="1779" xr:uid="{00000000-0005-0000-0000-00009F000000}"/>
    <cellStyle name="Comma 16 2 2 2 2 3 2 4" xfId="3361" xr:uid="{00000000-0005-0000-0000-0000A0000000}"/>
    <cellStyle name="Comma 16 2 2 2 2 3 3" xfId="2176" xr:uid="{00000000-0005-0000-0000-0000A1000000}"/>
    <cellStyle name="Comma 16 2 2 2 2 3 3 2" xfId="3758" xr:uid="{00000000-0005-0000-0000-0000A2000000}"/>
    <cellStyle name="Comma 16 2 2 2 2 3 4" xfId="1385" xr:uid="{00000000-0005-0000-0000-0000A3000000}"/>
    <cellStyle name="Comma 16 2 2 2 2 3 5" xfId="2967" xr:uid="{00000000-0005-0000-0000-0000A4000000}"/>
    <cellStyle name="Comma 16 2 2 2 2 4" xfId="655" xr:uid="{00000000-0005-0000-0000-0000A5000000}"/>
    <cellStyle name="Comma 16 2 2 2 2 4 2" xfId="1055" xr:uid="{00000000-0005-0000-0000-0000A6000000}"/>
    <cellStyle name="Comma 16 2 2 2 2 4 2 2" xfId="2638" xr:uid="{00000000-0005-0000-0000-0000A7000000}"/>
    <cellStyle name="Comma 16 2 2 2 2 4 2 2 2" xfId="4220" xr:uid="{00000000-0005-0000-0000-0000A8000000}"/>
    <cellStyle name="Comma 16 2 2 2 2 4 2 3" xfId="1847" xr:uid="{00000000-0005-0000-0000-0000A9000000}"/>
    <cellStyle name="Comma 16 2 2 2 2 4 2 4" xfId="3429" xr:uid="{00000000-0005-0000-0000-0000AA000000}"/>
    <cellStyle name="Comma 16 2 2 2 2 4 3" xfId="2244" xr:uid="{00000000-0005-0000-0000-0000AB000000}"/>
    <cellStyle name="Comma 16 2 2 2 2 4 3 2" xfId="3826" xr:uid="{00000000-0005-0000-0000-0000AC000000}"/>
    <cellStyle name="Comma 16 2 2 2 2 4 4" xfId="1453" xr:uid="{00000000-0005-0000-0000-0000AD000000}"/>
    <cellStyle name="Comma 16 2 2 2 2 4 5" xfId="3035" xr:uid="{00000000-0005-0000-0000-0000AE000000}"/>
    <cellStyle name="Comma 16 2 2 2 2 5" xfId="834" xr:uid="{00000000-0005-0000-0000-0000AF000000}"/>
    <cellStyle name="Comma 16 2 2 2 2 5 2" xfId="2417" xr:uid="{00000000-0005-0000-0000-0000B0000000}"/>
    <cellStyle name="Comma 16 2 2 2 2 5 2 2" xfId="3999" xr:uid="{00000000-0005-0000-0000-0000B1000000}"/>
    <cellStyle name="Comma 16 2 2 2 2 5 3" xfId="1626" xr:uid="{00000000-0005-0000-0000-0000B2000000}"/>
    <cellStyle name="Comma 16 2 2 2 2 5 4" xfId="3208" xr:uid="{00000000-0005-0000-0000-0000B3000000}"/>
    <cellStyle name="Comma 16 2 2 2 2 6" xfId="2023" xr:uid="{00000000-0005-0000-0000-0000B4000000}"/>
    <cellStyle name="Comma 16 2 2 2 2 6 2" xfId="3605" xr:uid="{00000000-0005-0000-0000-0000B5000000}"/>
    <cellStyle name="Comma 16 2 2 2 2 7" xfId="1232" xr:uid="{00000000-0005-0000-0000-0000B6000000}"/>
    <cellStyle name="Comma 16 2 2 2 2 8" xfId="2814" xr:uid="{00000000-0005-0000-0000-0000B7000000}"/>
    <cellStyle name="Comma 16 2 2 2 3" xfId="462" xr:uid="{00000000-0005-0000-0000-0000B8000000}"/>
    <cellStyle name="Comma 16 2 2 2 3 2" xfId="690" xr:uid="{00000000-0005-0000-0000-0000B9000000}"/>
    <cellStyle name="Comma 16 2 2 2 3 2 2" xfId="1090" xr:uid="{00000000-0005-0000-0000-0000BA000000}"/>
    <cellStyle name="Comma 16 2 2 2 3 2 2 2" xfId="2673" xr:uid="{00000000-0005-0000-0000-0000BB000000}"/>
    <cellStyle name="Comma 16 2 2 2 3 2 2 2 2" xfId="4255" xr:uid="{00000000-0005-0000-0000-0000BC000000}"/>
    <cellStyle name="Comma 16 2 2 2 3 2 2 3" xfId="1882" xr:uid="{00000000-0005-0000-0000-0000BD000000}"/>
    <cellStyle name="Comma 16 2 2 2 3 2 2 4" xfId="3464" xr:uid="{00000000-0005-0000-0000-0000BE000000}"/>
    <cellStyle name="Comma 16 2 2 2 3 2 3" xfId="2279" xr:uid="{00000000-0005-0000-0000-0000BF000000}"/>
    <cellStyle name="Comma 16 2 2 2 3 2 3 2" xfId="3861" xr:uid="{00000000-0005-0000-0000-0000C0000000}"/>
    <cellStyle name="Comma 16 2 2 2 3 2 4" xfId="1488" xr:uid="{00000000-0005-0000-0000-0000C1000000}"/>
    <cellStyle name="Comma 16 2 2 2 3 2 5" xfId="3070" xr:uid="{00000000-0005-0000-0000-0000C2000000}"/>
    <cellStyle name="Comma 16 2 2 2 3 3" xfId="869" xr:uid="{00000000-0005-0000-0000-0000C3000000}"/>
    <cellStyle name="Comma 16 2 2 2 3 3 2" xfId="2452" xr:uid="{00000000-0005-0000-0000-0000C4000000}"/>
    <cellStyle name="Comma 16 2 2 2 3 3 2 2" xfId="4034" xr:uid="{00000000-0005-0000-0000-0000C5000000}"/>
    <cellStyle name="Comma 16 2 2 2 3 3 3" xfId="1661" xr:uid="{00000000-0005-0000-0000-0000C6000000}"/>
    <cellStyle name="Comma 16 2 2 2 3 3 4" xfId="3243" xr:uid="{00000000-0005-0000-0000-0000C7000000}"/>
    <cellStyle name="Comma 16 2 2 2 3 4" xfId="2058" xr:uid="{00000000-0005-0000-0000-0000C8000000}"/>
    <cellStyle name="Comma 16 2 2 2 3 4 2" xfId="3640" xr:uid="{00000000-0005-0000-0000-0000C9000000}"/>
    <cellStyle name="Comma 16 2 2 2 3 5" xfId="1267" xr:uid="{00000000-0005-0000-0000-0000CA000000}"/>
    <cellStyle name="Comma 16 2 2 2 3 6" xfId="2849" xr:uid="{00000000-0005-0000-0000-0000CB000000}"/>
    <cellStyle name="Comma 16 2 2 2 4" xfId="539" xr:uid="{00000000-0005-0000-0000-0000CC000000}"/>
    <cellStyle name="Comma 16 2 2 2 4 2" xfId="946" xr:uid="{00000000-0005-0000-0000-0000CD000000}"/>
    <cellStyle name="Comma 16 2 2 2 4 2 2" xfId="2529" xr:uid="{00000000-0005-0000-0000-0000CE000000}"/>
    <cellStyle name="Comma 16 2 2 2 4 2 2 2" xfId="4111" xr:uid="{00000000-0005-0000-0000-0000CF000000}"/>
    <cellStyle name="Comma 16 2 2 2 4 2 3" xfId="1738" xr:uid="{00000000-0005-0000-0000-0000D0000000}"/>
    <cellStyle name="Comma 16 2 2 2 4 2 4" xfId="3320" xr:uid="{00000000-0005-0000-0000-0000D1000000}"/>
    <cellStyle name="Comma 16 2 2 2 4 3" xfId="2135" xr:uid="{00000000-0005-0000-0000-0000D2000000}"/>
    <cellStyle name="Comma 16 2 2 2 4 3 2" xfId="3717" xr:uid="{00000000-0005-0000-0000-0000D3000000}"/>
    <cellStyle name="Comma 16 2 2 2 4 4" xfId="1344" xr:uid="{00000000-0005-0000-0000-0000D4000000}"/>
    <cellStyle name="Comma 16 2 2 2 4 5" xfId="2926" xr:uid="{00000000-0005-0000-0000-0000D5000000}"/>
    <cellStyle name="Comma 16 2 2 2 5" xfId="614" xr:uid="{00000000-0005-0000-0000-0000D6000000}"/>
    <cellStyle name="Comma 16 2 2 2 5 2" xfId="1014" xr:uid="{00000000-0005-0000-0000-0000D7000000}"/>
    <cellStyle name="Comma 16 2 2 2 5 2 2" xfId="2597" xr:uid="{00000000-0005-0000-0000-0000D8000000}"/>
    <cellStyle name="Comma 16 2 2 2 5 2 2 2" xfId="4179" xr:uid="{00000000-0005-0000-0000-0000D9000000}"/>
    <cellStyle name="Comma 16 2 2 2 5 2 3" xfId="1806" xr:uid="{00000000-0005-0000-0000-0000DA000000}"/>
    <cellStyle name="Comma 16 2 2 2 5 2 4" xfId="3388" xr:uid="{00000000-0005-0000-0000-0000DB000000}"/>
    <cellStyle name="Comma 16 2 2 2 5 3" xfId="2203" xr:uid="{00000000-0005-0000-0000-0000DC000000}"/>
    <cellStyle name="Comma 16 2 2 2 5 3 2" xfId="3785" xr:uid="{00000000-0005-0000-0000-0000DD000000}"/>
    <cellStyle name="Comma 16 2 2 2 5 4" xfId="1412" xr:uid="{00000000-0005-0000-0000-0000DE000000}"/>
    <cellStyle name="Comma 16 2 2 2 5 5" xfId="2994" xr:uid="{00000000-0005-0000-0000-0000DF000000}"/>
    <cellStyle name="Comma 16 2 2 2 6" xfId="766" xr:uid="{00000000-0005-0000-0000-0000E0000000}"/>
    <cellStyle name="Comma 16 2 2 2 6 2" xfId="1166" xr:uid="{00000000-0005-0000-0000-0000E1000000}"/>
    <cellStyle name="Comma 16 2 2 2 6 2 2" xfId="2749" xr:uid="{00000000-0005-0000-0000-0000E2000000}"/>
    <cellStyle name="Comma 16 2 2 2 6 2 2 2" xfId="4331" xr:uid="{00000000-0005-0000-0000-0000E3000000}"/>
    <cellStyle name="Comma 16 2 2 2 6 2 3" xfId="1958" xr:uid="{00000000-0005-0000-0000-0000E4000000}"/>
    <cellStyle name="Comma 16 2 2 2 6 2 4" xfId="3540" xr:uid="{00000000-0005-0000-0000-0000E5000000}"/>
    <cellStyle name="Comma 16 2 2 2 6 3" xfId="2355" xr:uid="{00000000-0005-0000-0000-0000E6000000}"/>
    <cellStyle name="Comma 16 2 2 2 6 3 2" xfId="3937" xr:uid="{00000000-0005-0000-0000-0000E7000000}"/>
    <cellStyle name="Comma 16 2 2 2 6 4" xfId="1564" xr:uid="{00000000-0005-0000-0000-0000E8000000}"/>
    <cellStyle name="Comma 16 2 2 2 6 5" xfId="3146" xr:uid="{00000000-0005-0000-0000-0000E9000000}"/>
    <cellStyle name="Comma 16 2 2 2 7" xfId="793" xr:uid="{00000000-0005-0000-0000-0000EA000000}"/>
    <cellStyle name="Comma 16 2 2 2 7 2" xfId="2376" xr:uid="{00000000-0005-0000-0000-0000EB000000}"/>
    <cellStyle name="Comma 16 2 2 2 7 2 2" xfId="3958" xr:uid="{00000000-0005-0000-0000-0000EC000000}"/>
    <cellStyle name="Comma 16 2 2 2 7 3" xfId="1585" xr:uid="{00000000-0005-0000-0000-0000ED000000}"/>
    <cellStyle name="Comma 16 2 2 2 7 4" xfId="3167" xr:uid="{00000000-0005-0000-0000-0000EE000000}"/>
    <cellStyle name="Comma 16 2 2 2 8" xfId="1982" xr:uid="{00000000-0005-0000-0000-0000EF000000}"/>
    <cellStyle name="Comma 16 2 2 2 8 2" xfId="3564" xr:uid="{00000000-0005-0000-0000-0000F0000000}"/>
    <cellStyle name="Comma 16 2 2 2 9" xfId="1191" xr:uid="{00000000-0005-0000-0000-0000F1000000}"/>
    <cellStyle name="Comma 16 2 2 3" xfId="372" xr:uid="{00000000-0005-0000-0000-0000F2000000}"/>
    <cellStyle name="Comma 16 2 2 3 2" xfId="490" xr:uid="{00000000-0005-0000-0000-0000F3000000}"/>
    <cellStyle name="Comma 16 2 2 3 2 2" xfId="718" xr:uid="{00000000-0005-0000-0000-0000F4000000}"/>
    <cellStyle name="Comma 16 2 2 3 2 2 2" xfId="1118" xr:uid="{00000000-0005-0000-0000-0000F5000000}"/>
    <cellStyle name="Comma 16 2 2 3 2 2 2 2" xfId="2701" xr:uid="{00000000-0005-0000-0000-0000F6000000}"/>
    <cellStyle name="Comma 16 2 2 3 2 2 2 2 2" xfId="4283" xr:uid="{00000000-0005-0000-0000-0000F7000000}"/>
    <cellStyle name="Comma 16 2 2 3 2 2 2 3" xfId="1910" xr:uid="{00000000-0005-0000-0000-0000F8000000}"/>
    <cellStyle name="Comma 16 2 2 3 2 2 2 4" xfId="3492" xr:uid="{00000000-0005-0000-0000-0000F9000000}"/>
    <cellStyle name="Comma 16 2 2 3 2 2 3" xfId="2307" xr:uid="{00000000-0005-0000-0000-0000FA000000}"/>
    <cellStyle name="Comma 16 2 2 3 2 2 3 2" xfId="3889" xr:uid="{00000000-0005-0000-0000-0000FB000000}"/>
    <cellStyle name="Comma 16 2 2 3 2 2 4" xfId="1516" xr:uid="{00000000-0005-0000-0000-0000FC000000}"/>
    <cellStyle name="Comma 16 2 2 3 2 2 5" xfId="3098" xr:uid="{00000000-0005-0000-0000-0000FD000000}"/>
    <cellStyle name="Comma 16 2 2 3 2 3" xfId="897" xr:uid="{00000000-0005-0000-0000-0000FE000000}"/>
    <cellStyle name="Comma 16 2 2 3 2 3 2" xfId="2480" xr:uid="{00000000-0005-0000-0000-0000FF000000}"/>
    <cellStyle name="Comma 16 2 2 3 2 3 2 2" xfId="4062" xr:uid="{00000000-0005-0000-0000-000000010000}"/>
    <cellStyle name="Comma 16 2 2 3 2 3 3" xfId="1689" xr:uid="{00000000-0005-0000-0000-000001010000}"/>
    <cellStyle name="Comma 16 2 2 3 2 3 4" xfId="3271" xr:uid="{00000000-0005-0000-0000-000002010000}"/>
    <cellStyle name="Comma 16 2 2 3 2 4" xfId="2086" xr:uid="{00000000-0005-0000-0000-000003010000}"/>
    <cellStyle name="Comma 16 2 2 3 2 4 2" xfId="3668" xr:uid="{00000000-0005-0000-0000-000004010000}"/>
    <cellStyle name="Comma 16 2 2 3 2 5" xfId="1295" xr:uid="{00000000-0005-0000-0000-000005010000}"/>
    <cellStyle name="Comma 16 2 2 3 2 6" xfId="2877" xr:uid="{00000000-0005-0000-0000-000006010000}"/>
    <cellStyle name="Comma 16 2 2 3 3" xfId="567" xr:uid="{00000000-0005-0000-0000-000007010000}"/>
    <cellStyle name="Comma 16 2 2 3 3 2" xfId="974" xr:uid="{00000000-0005-0000-0000-000008010000}"/>
    <cellStyle name="Comma 16 2 2 3 3 2 2" xfId="2557" xr:uid="{00000000-0005-0000-0000-000009010000}"/>
    <cellStyle name="Comma 16 2 2 3 3 2 2 2" xfId="4139" xr:uid="{00000000-0005-0000-0000-00000A010000}"/>
    <cellStyle name="Comma 16 2 2 3 3 2 3" xfId="1766" xr:uid="{00000000-0005-0000-0000-00000B010000}"/>
    <cellStyle name="Comma 16 2 2 3 3 2 4" xfId="3348" xr:uid="{00000000-0005-0000-0000-00000C010000}"/>
    <cellStyle name="Comma 16 2 2 3 3 3" xfId="2163" xr:uid="{00000000-0005-0000-0000-00000D010000}"/>
    <cellStyle name="Comma 16 2 2 3 3 3 2" xfId="3745" xr:uid="{00000000-0005-0000-0000-00000E010000}"/>
    <cellStyle name="Comma 16 2 2 3 3 4" xfId="1372" xr:uid="{00000000-0005-0000-0000-00000F010000}"/>
    <cellStyle name="Comma 16 2 2 3 3 5" xfId="2954" xr:uid="{00000000-0005-0000-0000-000010010000}"/>
    <cellStyle name="Comma 16 2 2 3 4" xfId="642" xr:uid="{00000000-0005-0000-0000-000011010000}"/>
    <cellStyle name="Comma 16 2 2 3 4 2" xfId="1042" xr:uid="{00000000-0005-0000-0000-000012010000}"/>
    <cellStyle name="Comma 16 2 2 3 4 2 2" xfId="2625" xr:uid="{00000000-0005-0000-0000-000013010000}"/>
    <cellStyle name="Comma 16 2 2 3 4 2 2 2" xfId="4207" xr:uid="{00000000-0005-0000-0000-000014010000}"/>
    <cellStyle name="Comma 16 2 2 3 4 2 3" xfId="1834" xr:uid="{00000000-0005-0000-0000-000015010000}"/>
    <cellStyle name="Comma 16 2 2 3 4 2 4" xfId="3416" xr:uid="{00000000-0005-0000-0000-000016010000}"/>
    <cellStyle name="Comma 16 2 2 3 4 3" xfId="2231" xr:uid="{00000000-0005-0000-0000-000017010000}"/>
    <cellStyle name="Comma 16 2 2 3 4 3 2" xfId="3813" xr:uid="{00000000-0005-0000-0000-000018010000}"/>
    <cellStyle name="Comma 16 2 2 3 4 4" xfId="1440" xr:uid="{00000000-0005-0000-0000-000019010000}"/>
    <cellStyle name="Comma 16 2 2 3 4 5" xfId="3022" xr:uid="{00000000-0005-0000-0000-00001A010000}"/>
    <cellStyle name="Comma 16 2 2 3 5" xfId="821" xr:uid="{00000000-0005-0000-0000-00001B010000}"/>
    <cellStyle name="Comma 16 2 2 3 5 2" xfId="2404" xr:uid="{00000000-0005-0000-0000-00001C010000}"/>
    <cellStyle name="Comma 16 2 2 3 5 2 2" xfId="3986" xr:uid="{00000000-0005-0000-0000-00001D010000}"/>
    <cellStyle name="Comma 16 2 2 3 5 3" xfId="1613" xr:uid="{00000000-0005-0000-0000-00001E010000}"/>
    <cellStyle name="Comma 16 2 2 3 5 4" xfId="3195" xr:uid="{00000000-0005-0000-0000-00001F010000}"/>
    <cellStyle name="Comma 16 2 2 3 6" xfId="2010" xr:uid="{00000000-0005-0000-0000-000020010000}"/>
    <cellStyle name="Comma 16 2 2 3 6 2" xfId="3592" xr:uid="{00000000-0005-0000-0000-000021010000}"/>
    <cellStyle name="Comma 16 2 2 3 7" xfId="1219" xr:uid="{00000000-0005-0000-0000-000022010000}"/>
    <cellStyle name="Comma 16 2 2 3 8" xfId="2801" xr:uid="{00000000-0005-0000-0000-000023010000}"/>
    <cellStyle name="Comma 16 2 2 4" xfId="449" xr:uid="{00000000-0005-0000-0000-000024010000}"/>
    <cellStyle name="Comma 16 2 2 4 2" xfId="677" xr:uid="{00000000-0005-0000-0000-000025010000}"/>
    <cellStyle name="Comma 16 2 2 4 2 2" xfId="1077" xr:uid="{00000000-0005-0000-0000-000026010000}"/>
    <cellStyle name="Comma 16 2 2 4 2 2 2" xfId="2660" xr:uid="{00000000-0005-0000-0000-000027010000}"/>
    <cellStyle name="Comma 16 2 2 4 2 2 2 2" xfId="4242" xr:uid="{00000000-0005-0000-0000-000028010000}"/>
    <cellStyle name="Comma 16 2 2 4 2 2 3" xfId="1869" xr:uid="{00000000-0005-0000-0000-000029010000}"/>
    <cellStyle name="Comma 16 2 2 4 2 2 4" xfId="3451" xr:uid="{00000000-0005-0000-0000-00002A010000}"/>
    <cellStyle name="Comma 16 2 2 4 2 3" xfId="2266" xr:uid="{00000000-0005-0000-0000-00002B010000}"/>
    <cellStyle name="Comma 16 2 2 4 2 3 2" xfId="3848" xr:uid="{00000000-0005-0000-0000-00002C010000}"/>
    <cellStyle name="Comma 16 2 2 4 2 4" xfId="1475" xr:uid="{00000000-0005-0000-0000-00002D010000}"/>
    <cellStyle name="Comma 16 2 2 4 2 5" xfId="3057" xr:uid="{00000000-0005-0000-0000-00002E010000}"/>
    <cellStyle name="Comma 16 2 2 4 3" xfId="856" xr:uid="{00000000-0005-0000-0000-00002F010000}"/>
    <cellStyle name="Comma 16 2 2 4 3 2" xfId="2439" xr:uid="{00000000-0005-0000-0000-000030010000}"/>
    <cellStyle name="Comma 16 2 2 4 3 2 2" xfId="4021" xr:uid="{00000000-0005-0000-0000-000031010000}"/>
    <cellStyle name="Comma 16 2 2 4 3 3" xfId="1648" xr:uid="{00000000-0005-0000-0000-000032010000}"/>
    <cellStyle name="Comma 16 2 2 4 3 4" xfId="3230" xr:uid="{00000000-0005-0000-0000-000033010000}"/>
    <cellStyle name="Comma 16 2 2 4 4" xfId="2045" xr:uid="{00000000-0005-0000-0000-000034010000}"/>
    <cellStyle name="Comma 16 2 2 4 4 2" xfId="3627" xr:uid="{00000000-0005-0000-0000-000035010000}"/>
    <cellStyle name="Comma 16 2 2 4 5" xfId="1254" xr:uid="{00000000-0005-0000-0000-000036010000}"/>
    <cellStyle name="Comma 16 2 2 4 6" xfId="2836" xr:uid="{00000000-0005-0000-0000-000037010000}"/>
    <cellStyle name="Comma 16 2 2 5" xfId="526" xr:uid="{00000000-0005-0000-0000-000038010000}"/>
    <cellStyle name="Comma 16 2 2 5 2" xfId="933" xr:uid="{00000000-0005-0000-0000-000039010000}"/>
    <cellStyle name="Comma 16 2 2 5 2 2" xfId="2516" xr:uid="{00000000-0005-0000-0000-00003A010000}"/>
    <cellStyle name="Comma 16 2 2 5 2 2 2" xfId="4098" xr:uid="{00000000-0005-0000-0000-00003B010000}"/>
    <cellStyle name="Comma 16 2 2 5 2 3" xfId="1725" xr:uid="{00000000-0005-0000-0000-00003C010000}"/>
    <cellStyle name="Comma 16 2 2 5 2 4" xfId="3307" xr:uid="{00000000-0005-0000-0000-00003D010000}"/>
    <cellStyle name="Comma 16 2 2 5 3" xfId="2122" xr:uid="{00000000-0005-0000-0000-00003E010000}"/>
    <cellStyle name="Comma 16 2 2 5 3 2" xfId="3704" xr:uid="{00000000-0005-0000-0000-00003F010000}"/>
    <cellStyle name="Comma 16 2 2 5 4" xfId="1331" xr:uid="{00000000-0005-0000-0000-000040010000}"/>
    <cellStyle name="Comma 16 2 2 5 5" xfId="2913" xr:uid="{00000000-0005-0000-0000-000041010000}"/>
    <cellStyle name="Comma 16 2 2 6" xfId="601" xr:uid="{00000000-0005-0000-0000-000042010000}"/>
    <cellStyle name="Comma 16 2 2 6 2" xfId="1001" xr:uid="{00000000-0005-0000-0000-000043010000}"/>
    <cellStyle name="Comma 16 2 2 6 2 2" xfId="2584" xr:uid="{00000000-0005-0000-0000-000044010000}"/>
    <cellStyle name="Comma 16 2 2 6 2 2 2" xfId="4166" xr:uid="{00000000-0005-0000-0000-000045010000}"/>
    <cellStyle name="Comma 16 2 2 6 2 3" xfId="1793" xr:uid="{00000000-0005-0000-0000-000046010000}"/>
    <cellStyle name="Comma 16 2 2 6 2 4" xfId="3375" xr:uid="{00000000-0005-0000-0000-000047010000}"/>
    <cellStyle name="Comma 16 2 2 6 3" xfId="2190" xr:uid="{00000000-0005-0000-0000-000048010000}"/>
    <cellStyle name="Comma 16 2 2 6 3 2" xfId="3772" xr:uid="{00000000-0005-0000-0000-000049010000}"/>
    <cellStyle name="Comma 16 2 2 6 4" xfId="1399" xr:uid="{00000000-0005-0000-0000-00004A010000}"/>
    <cellStyle name="Comma 16 2 2 6 5" xfId="2981" xr:uid="{00000000-0005-0000-0000-00004B010000}"/>
    <cellStyle name="Comma 16 2 2 7" xfId="753" xr:uid="{00000000-0005-0000-0000-00004C010000}"/>
    <cellStyle name="Comma 16 2 2 7 2" xfId="1153" xr:uid="{00000000-0005-0000-0000-00004D010000}"/>
    <cellStyle name="Comma 16 2 2 7 2 2" xfId="2736" xr:uid="{00000000-0005-0000-0000-00004E010000}"/>
    <cellStyle name="Comma 16 2 2 7 2 2 2" xfId="4318" xr:uid="{00000000-0005-0000-0000-00004F010000}"/>
    <cellStyle name="Comma 16 2 2 7 2 3" xfId="1945" xr:uid="{00000000-0005-0000-0000-000050010000}"/>
    <cellStyle name="Comma 16 2 2 7 2 4" xfId="3527" xr:uid="{00000000-0005-0000-0000-000051010000}"/>
    <cellStyle name="Comma 16 2 2 7 3" xfId="2342" xr:uid="{00000000-0005-0000-0000-000052010000}"/>
    <cellStyle name="Comma 16 2 2 7 3 2" xfId="3924" xr:uid="{00000000-0005-0000-0000-000053010000}"/>
    <cellStyle name="Comma 16 2 2 7 4" xfId="1551" xr:uid="{00000000-0005-0000-0000-000054010000}"/>
    <cellStyle name="Comma 16 2 2 7 5" xfId="3133" xr:uid="{00000000-0005-0000-0000-000055010000}"/>
    <cellStyle name="Comma 16 2 2 8" xfId="780" xr:uid="{00000000-0005-0000-0000-000056010000}"/>
    <cellStyle name="Comma 16 2 2 8 2" xfId="2363" xr:uid="{00000000-0005-0000-0000-000057010000}"/>
    <cellStyle name="Comma 16 2 2 8 2 2" xfId="3945" xr:uid="{00000000-0005-0000-0000-000058010000}"/>
    <cellStyle name="Comma 16 2 2 8 3" xfId="1572" xr:uid="{00000000-0005-0000-0000-000059010000}"/>
    <cellStyle name="Comma 16 2 2 8 4" xfId="3154" xr:uid="{00000000-0005-0000-0000-00005A010000}"/>
    <cellStyle name="Comma 16 2 2 9" xfId="1969" xr:uid="{00000000-0005-0000-0000-00005B010000}"/>
    <cellStyle name="Comma 16 2 2 9 2" xfId="3551" xr:uid="{00000000-0005-0000-0000-00005C010000}"/>
    <cellStyle name="Comma 16 2 3" xfId="304" xr:uid="{00000000-0005-0000-0000-00005D010000}"/>
    <cellStyle name="Comma 16 2 3 10" xfId="2767" xr:uid="{00000000-0005-0000-0000-00005E010000}"/>
    <cellStyle name="Comma 16 2 3 2" xfId="382" xr:uid="{00000000-0005-0000-0000-00005F010000}"/>
    <cellStyle name="Comma 16 2 3 2 2" xfId="497" xr:uid="{00000000-0005-0000-0000-000060010000}"/>
    <cellStyle name="Comma 16 2 3 2 2 2" xfId="725" xr:uid="{00000000-0005-0000-0000-000061010000}"/>
    <cellStyle name="Comma 16 2 3 2 2 2 2" xfId="1125" xr:uid="{00000000-0005-0000-0000-000062010000}"/>
    <cellStyle name="Comma 16 2 3 2 2 2 2 2" xfId="2708" xr:uid="{00000000-0005-0000-0000-000063010000}"/>
    <cellStyle name="Comma 16 2 3 2 2 2 2 2 2" xfId="4290" xr:uid="{00000000-0005-0000-0000-000064010000}"/>
    <cellStyle name="Comma 16 2 3 2 2 2 2 3" xfId="1917" xr:uid="{00000000-0005-0000-0000-000065010000}"/>
    <cellStyle name="Comma 16 2 3 2 2 2 2 4" xfId="3499" xr:uid="{00000000-0005-0000-0000-000066010000}"/>
    <cellStyle name="Comma 16 2 3 2 2 2 3" xfId="2314" xr:uid="{00000000-0005-0000-0000-000067010000}"/>
    <cellStyle name="Comma 16 2 3 2 2 2 3 2" xfId="3896" xr:uid="{00000000-0005-0000-0000-000068010000}"/>
    <cellStyle name="Comma 16 2 3 2 2 2 4" xfId="1523" xr:uid="{00000000-0005-0000-0000-000069010000}"/>
    <cellStyle name="Comma 16 2 3 2 2 2 5" xfId="3105" xr:uid="{00000000-0005-0000-0000-00006A010000}"/>
    <cellStyle name="Comma 16 2 3 2 2 3" xfId="904" xr:uid="{00000000-0005-0000-0000-00006B010000}"/>
    <cellStyle name="Comma 16 2 3 2 2 3 2" xfId="2487" xr:uid="{00000000-0005-0000-0000-00006C010000}"/>
    <cellStyle name="Comma 16 2 3 2 2 3 2 2" xfId="4069" xr:uid="{00000000-0005-0000-0000-00006D010000}"/>
    <cellStyle name="Comma 16 2 3 2 2 3 3" xfId="1696" xr:uid="{00000000-0005-0000-0000-00006E010000}"/>
    <cellStyle name="Comma 16 2 3 2 2 3 4" xfId="3278" xr:uid="{00000000-0005-0000-0000-00006F010000}"/>
    <cellStyle name="Comma 16 2 3 2 2 4" xfId="2093" xr:uid="{00000000-0005-0000-0000-000070010000}"/>
    <cellStyle name="Comma 16 2 3 2 2 4 2" xfId="3675" xr:uid="{00000000-0005-0000-0000-000071010000}"/>
    <cellStyle name="Comma 16 2 3 2 2 5" xfId="1302" xr:uid="{00000000-0005-0000-0000-000072010000}"/>
    <cellStyle name="Comma 16 2 3 2 2 6" xfId="2884" xr:uid="{00000000-0005-0000-0000-000073010000}"/>
    <cellStyle name="Comma 16 2 3 2 3" xfId="574" xr:uid="{00000000-0005-0000-0000-000074010000}"/>
    <cellStyle name="Comma 16 2 3 2 3 2" xfId="981" xr:uid="{00000000-0005-0000-0000-000075010000}"/>
    <cellStyle name="Comma 16 2 3 2 3 2 2" xfId="2564" xr:uid="{00000000-0005-0000-0000-000076010000}"/>
    <cellStyle name="Comma 16 2 3 2 3 2 2 2" xfId="4146" xr:uid="{00000000-0005-0000-0000-000077010000}"/>
    <cellStyle name="Comma 16 2 3 2 3 2 3" xfId="1773" xr:uid="{00000000-0005-0000-0000-000078010000}"/>
    <cellStyle name="Comma 16 2 3 2 3 2 4" xfId="3355" xr:uid="{00000000-0005-0000-0000-000079010000}"/>
    <cellStyle name="Comma 16 2 3 2 3 3" xfId="2170" xr:uid="{00000000-0005-0000-0000-00007A010000}"/>
    <cellStyle name="Comma 16 2 3 2 3 3 2" xfId="3752" xr:uid="{00000000-0005-0000-0000-00007B010000}"/>
    <cellStyle name="Comma 16 2 3 2 3 4" xfId="1379" xr:uid="{00000000-0005-0000-0000-00007C010000}"/>
    <cellStyle name="Comma 16 2 3 2 3 5" xfId="2961" xr:uid="{00000000-0005-0000-0000-00007D010000}"/>
    <cellStyle name="Comma 16 2 3 2 4" xfId="649" xr:uid="{00000000-0005-0000-0000-00007E010000}"/>
    <cellStyle name="Comma 16 2 3 2 4 2" xfId="1049" xr:uid="{00000000-0005-0000-0000-00007F010000}"/>
    <cellStyle name="Comma 16 2 3 2 4 2 2" xfId="2632" xr:uid="{00000000-0005-0000-0000-000080010000}"/>
    <cellStyle name="Comma 16 2 3 2 4 2 2 2" xfId="4214" xr:uid="{00000000-0005-0000-0000-000081010000}"/>
    <cellStyle name="Comma 16 2 3 2 4 2 3" xfId="1841" xr:uid="{00000000-0005-0000-0000-000082010000}"/>
    <cellStyle name="Comma 16 2 3 2 4 2 4" xfId="3423" xr:uid="{00000000-0005-0000-0000-000083010000}"/>
    <cellStyle name="Comma 16 2 3 2 4 3" xfId="2238" xr:uid="{00000000-0005-0000-0000-000084010000}"/>
    <cellStyle name="Comma 16 2 3 2 4 3 2" xfId="3820" xr:uid="{00000000-0005-0000-0000-000085010000}"/>
    <cellStyle name="Comma 16 2 3 2 4 4" xfId="1447" xr:uid="{00000000-0005-0000-0000-000086010000}"/>
    <cellStyle name="Comma 16 2 3 2 4 5" xfId="3029" xr:uid="{00000000-0005-0000-0000-000087010000}"/>
    <cellStyle name="Comma 16 2 3 2 5" xfId="828" xr:uid="{00000000-0005-0000-0000-000088010000}"/>
    <cellStyle name="Comma 16 2 3 2 5 2" xfId="2411" xr:uid="{00000000-0005-0000-0000-000089010000}"/>
    <cellStyle name="Comma 16 2 3 2 5 2 2" xfId="3993" xr:uid="{00000000-0005-0000-0000-00008A010000}"/>
    <cellStyle name="Comma 16 2 3 2 5 3" xfId="1620" xr:uid="{00000000-0005-0000-0000-00008B010000}"/>
    <cellStyle name="Comma 16 2 3 2 5 4" xfId="3202" xr:uid="{00000000-0005-0000-0000-00008C010000}"/>
    <cellStyle name="Comma 16 2 3 2 6" xfId="2017" xr:uid="{00000000-0005-0000-0000-00008D010000}"/>
    <cellStyle name="Comma 16 2 3 2 6 2" xfId="3599" xr:uid="{00000000-0005-0000-0000-00008E010000}"/>
    <cellStyle name="Comma 16 2 3 2 7" xfId="1226" xr:uid="{00000000-0005-0000-0000-00008F010000}"/>
    <cellStyle name="Comma 16 2 3 2 8" xfId="2808" xr:uid="{00000000-0005-0000-0000-000090010000}"/>
    <cellStyle name="Comma 16 2 3 3" xfId="456" xr:uid="{00000000-0005-0000-0000-000091010000}"/>
    <cellStyle name="Comma 16 2 3 3 2" xfId="684" xr:uid="{00000000-0005-0000-0000-000092010000}"/>
    <cellStyle name="Comma 16 2 3 3 2 2" xfId="1084" xr:uid="{00000000-0005-0000-0000-000093010000}"/>
    <cellStyle name="Comma 16 2 3 3 2 2 2" xfId="2667" xr:uid="{00000000-0005-0000-0000-000094010000}"/>
    <cellStyle name="Comma 16 2 3 3 2 2 2 2" xfId="4249" xr:uid="{00000000-0005-0000-0000-000095010000}"/>
    <cellStyle name="Comma 16 2 3 3 2 2 3" xfId="1876" xr:uid="{00000000-0005-0000-0000-000096010000}"/>
    <cellStyle name="Comma 16 2 3 3 2 2 4" xfId="3458" xr:uid="{00000000-0005-0000-0000-000097010000}"/>
    <cellStyle name="Comma 16 2 3 3 2 3" xfId="2273" xr:uid="{00000000-0005-0000-0000-000098010000}"/>
    <cellStyle name="Comma 16 2 3 3 2 3 2" xfId="3855" xr:uid="{00000000-0005-0000-0000-000099010000}"/>
    <cellStyle name="Comma 16 2 3 3 2 4" xfId="1482" xr:uid="{00000000-0005-0000-0000-00009A010000}"/>
    <cellStyle name="Comma 16 2 3 3 2 5" xfId="3064" xr:uid="{00000000-0005-0000-0000-00009B010000}"/>
    <cellStyle name="Comma 16 2 3 3 3" xfId="863" xr:uid="{00000000-0005-0000-0000-00009C010000}"/>
    <cellStyle name="Comma 16 2 3 3 3 2" xfId="2446" xr:uid="{00000000-0005-0000-0000-00009D010000}"/>
    <cellStyle name="Comma 16 2 3 3 3 2 2" xfId="4028" xr:uid="{00000000-0005-0000-0000-00009E010000}"/>
    <cellStyle name="Comma 16 2 3 3 3 3" xfId="1655" xr:uid="{00000000-0005-0000-0000-00009F010000}"/>
    <cellStyle name="Comma 16 2 3 3 3 4" xfId="3237" xr:uid="{00000000-0005-0000-0000-0000A0010000}"/>
    <cellStyle name="Comma 16 2 3 3 4" xfId="2052" xr:uid="{00000000-0005-0000-0000-0000A1010000}"/>
    <cellStyle name="Comma 16 2 3 3 4 2" xfId="3634" xr:uid="{00000000-0005-0000-0000-0000A2010000}"/>
    <cellStyle name="Comma 16 2 3 3 5" xfId="1261" xr:uid="{00000000-0005-0000-0000-0000A3010000}"/>
    <cellStyle name="Comma 16 2 3 3 6" xfId="2843" xr:uid="{00000000-0005-0000-0000-0000A4010000}"/>
    <cellStyle name="Comma 16 2 3 4" xfId="533" xr:uid="{00000000-0005-0000-0000-0000A5010000}"/>
    <cellStyle name="Comma 16 2 3 4 2" xfId="940" xr:uid="{00000000-0005-0000-0000-0000A6010000}"/>
    <cellStyle name="Comma 16 2 3 4 2 2" xfId="2523" xr:uid="{00000000-0005-0000-0000-0000A7010000}"/>
    <cellStyle name="Comma 16 2 3 4 2 2 2" xfId="4105" xr:uid="{00000000-0005-0000-0000-0000A8010000}"/>
    <cellStyle name="Comma 16 2 3 4 2 3" xfId="1732" xr:uid="{00000000-0005-0000-0000-0000A9010000}"/>
    <cellStyle name="Comma 16 2 3 4 2 4" xfId="3314" xr:uid="{00000000-0005-0000-0000-0000AA010000}"/>
    <cellStyle name="Comma 16 2 3 4 3" xfId="2129" xr:uid="{00000000-0005-0000-0000-0000AB010000}"/>
    <cellStyle name="Comma 16 2 3 4 3 2" xfId="3711" xr:uid="{00000000-0005-0000-0000-0000AC010000}"/>
    <cellStyle name="Comma 16 2 3 4 4" xfId="1338" xr:uid="{00000000-0005-0000-0000-0000AD010000}"/>
    <cellStyle name="Comma 16 2 3 4 5" xfId="2920" xr:uid="{00000000-0005-0000-0000-0000AE010000}"/>
    <cellStyle name="Comma 16 2 3 5" xfId="608" xr:uid="{00000000-0005-0000-0000-0000AF010000}"/>
    <cellStyle name="Comma 16 2 3 5 2" xfId="1008" xr:uid="{00000000-0005-0000-0000-0000B0010000}"/>
    <cellStyle name="Comma 16 2 3 5 2 2" xfId="2591" xr:uid="{00000000-0005-0000-0000-0000B1010000}"/>
    <cellStyle name="Comma 16 2 3 5 2 2 2" xfId="4173" xr:uid="{00000000-0005-0000-0000-0000B2010000}"/>
    <cellStyle name="Comma 16 2 3 5 2 3" xfId="1800" xr:uid="{00000000-0005-0000-0000-0000B3010000}"/>
    <cellStyle name="Comma 16 2 3 5 2 4" xfId="3382" xr:uid="{00000000-0005-0000-0000-0000B4010000}"/>
    <cellStyle name="Comma 16 2 3 5 3" xfId="2197" xr:uid="{00000000-0005-0000-0000-0000B5010000}"/>
    <cellStyle name="Comma 16 2 3 5 3 2" xfId="3779" xr:uid="{00000000-0005-0000-0000-0000B6010000}"/>
    <cellStyle name="Comma 16 2 3 5 4" xfId="1406" xr:uid="{00000000-0005-0000-0000-0000B7010000}"/>
    <cellStyle name="Comma 16 2 3 5 5" xfId="2988" xr:uid="{00000000-0005-0000-0000-0000B8010000}"/>
    <cellStyle name="Comma 16 2 3 6" xfId="760" xr:uid="{00000000-0005-0000-0000-0000B9010000}"/>
    <cellStyle name="Comma 16 2 3 6 2" xfId="1160" xr:uid="{00000000-0005-0000-0000-0000BA010000}"/>
    <cellStyle name="Comma 16 2 3 6 2 2" xfId="2743" xr:uid="{00000000-0005-0000-0000-0000BB010000}"/>
    <cellStyle name="Comma 16 2 3 6 2 2 2" xfId="4325" xr:uid="{00000000-0005-0000-0000-0000BC010000}"/>
    <cellStyle name="Comma 16 2 3 6 2 3" xfId="1952" xr:uid="{00000000-0005-0000-0000-0000BD010000}"/>
    <cellStyle name="Comma 16 2 3 6 2 4" xfId="3534" xr:uid="{00000000-0005-0000-0000-0000BE010000}"/>
    <cellStyle name="Comma 16 2 3 6 3" xfId="2349" xr:uid="{00000000-0005-0000-0000-0000BF010000}"/>
    <cellStyle name="Comma 16 2 3 6 3 2" xfId="3931" xr:uid="{00000000-0005-0000-0000-0000C0010000}"/>
    <cellStyle name="Comma 16 2 3 6 4" xfId="1558" xr:uid="{00000000-0005-0000-0000-0000C1010000}"/>
    <cellStyle name="Comma 16 2 3 6 5" xfId="3140" xr:uid="{00000000-0005-0000-0000-0000C2010000}"/>
    <cellStyle name="Comma 16 2 3 7" xfId="787" xr:uid="{00000000-0005-0000-0000-0000C3010000}"/>
    <cellStyle name="Comma 16 2 3 7 2" xfId="2370" xr:uid="{00000000-0005-0000-0000-0000C4010000}"/>
    <cellStyle name="Comma 16 2 3 7 2 2" xfId="3952" xr:uid="{00000000-0005-0000-0000-0000C5010000}"/>
    <cellStyle name="Comma 16 2 3 7 3" xfId="1579" xr:uid="{00000000-0005-0000-0000-0000C6010000}"/>
    <cellStyle name="Comma 16 2 3 7 4" xfId="3161" xr:uid="{00000000-0005-0000-0000-0000C7010000}"/>
    <cellStyle name="Comma 16 2 3 8" xfId="1976" xr:uid="{00000000-0005-0000-0000-0000C8010000}"/>
    <cellStyle name="Comma 16 2 3 8 2" xfId="3558" xr:uid="{00000000-0005-0000-0000-0000C9010000}"/>
    <cellStyle name="Comma 16 2 3 9" xfId="1185" xr:uid="{00000000-0005-0000-0000-0000CA010000}"/>
    <cellStyle name="Comma 16 2 4" xfId="356" xr:uid="{00000000-0005-0000-0000-0000CB010000}"/>
    <cellStyle name="Comma 16 2 4 2" xfId="477" xr:uid="{00000000-0005-0000-0000-0000CC010000}"/>
    <cellStyle name="Comma 16 2 4 2 2" xfId="705" xr:uid="{00000000-0005-0000-0000-0000CD010000}"/>
    <cellStyle name="Comma 16 2 4 2 2 2" xfId="1105" xr:uid="{00000000-0005-0000-0000-0000CE010000}"/>
    <cellStyle name="Comma 16 2 4 2 2 2 2" xfId="2688" xr:uid="{00000000-0005-0000-0000-0000CF010000}"/>
    <cellStyle name="Comma 16 2 4 2 2 2 2 2" xfId="4270" xr:uid="{00000000-0005-0000-0000-0000D0010000}"/>
    <cellStyle name="Comma 16 2 4 2 2 2 3" xfId="1897" xr:uid="{00000000-0005-0000-0000-0000D1010000}"/>
    <cellStyle name="Comma 16 2 4 2 2 2 4" xfId="3479" xr:uid="{00000000-0005-0000-0000-0000D2010000}"/>
    <cellStyle name="Comma 16 2 4 2 2 3" xfId="2294" xr:uid="{00000000-0005-0000-0000-0000D3010000}"/>
    <cellStyle name="Comma 16 2 4 2 2 3 2" xfId="3876" xr:uid="{00000000-0005-0000-0000-0000D4010000}"/>
    <cellStyle name="Comma 16 2 4 2 2 4" xfId="1503" xr:uid="{00000000-0005-0000-0000-0000D5010000}"/>
    <cellStyle name="Comma 16 2 4 2 2 5" xfId="3085" xr:uid="{00000000-0005-0000-0000-0000D6010000}"/>
    <cellStyle name="Comma 16 2 4 2 3" xfId="884" xr:uid="{00000000-0005-0000-0000-0000D7010000}"/>
    <cellStyle name="Comma 16 2 4 2 3 2" xfId="2467" xr:uid="{00000000-0005-0000-0000-0000D8010000}"/>
    <cellStyle name="Comma 16 2 4 2 3 2 2" xfId="4049" xr:uid="{00000000-0005-0000-0000-0000D9010000}"/>
    <cellStyle name="Comma 16 2 4 2 3 3" xfId="1676" xr:uid="{00000000-0005-0000-0000-0000DA010000}"/>
    <cellStyle name="Comma 16 2 4 2 3 4" xfId="3258" xr:uid="{00000000-0005-0000-0000-0000DB010000}"/>
    <cellStyle name="Comma 16 2 4 2 4" xfId="2073" xr:uid="{00000000-0005-0000-0000-0000DC010000}"/>
    <cellStyle name="Comma 16 2 4 2 4 2" xfId="3655" xr:uid="{00000000-0005-0000-0000-0000DD010000}"/>
    <cellStyle name="Comma 16 2 4 2 5" xfId="1282" xr:uid="{00000000-0005-0000-0000-0000DE010000}"/>
    <cellStyle name="Comma 16 2 4 2 6" xfId="2864" xr:uid="{00000000-0005-0000-0000-0000DF010000}"/>
    <cellStyle name="Comma 16 2 4 3" xfId="554" xr:uid="{00000000-0005-0000-0000-0000E0010000}"/>
    <cellStyle name="Comma 16 2 4 3 2" xfId="961" xr:uid="{00000000-0005-0000-0000-0000E1010000}"/>
    <cellStyle name="Comma 16 2 4 3 2 2" xfId="2544" xr:uid="{00000000-0005-0000-0000-0000E2010000}"/>
    <cellStyle name="Comma 16 2 4 3 2 2 2" xfId="4126" xr:uid="{00000000-0005-0000-0000-0000E3010000}"/>
    <cellStyle name="Comma 16 2 4 3 2 3" xfId="1753" xr:uid="{00000000-0005-0000-0000-0000E4010000}"/>
    <cellStyle name="Comma 16 2 4 3 2 4" xfId="3335" xr:uid="{00000000-0005-0000-0000-0000E5010000}"/>
    <cellStyle name="Comma 16 2 4 3 3" xfId="2150" xr:uid="{00000000-0005-0000-0000-0000E6010000}"/>
    <cellStyle name="Comma 16 2 4 3 3 2" xfId="3732" xr:uid="{00000000-0005-0000-0000-0000E7010000}"/>
    <cellStyle name="Comma 16 2 4 3 4" xfId="1359" xr:uid="{00000000-0005-0000-0000-0000E8010000}"/>
    <cellStyle name="Comma 16 2 4 3 5" xfId="2941" xr:uid="{00000000-0005-0000-0000-0000E9010000}"/>
    <cellStyle name="Comma 16 2 4 4" xfId="629" xr:uid="{00000000-0005-0000-0000-0000EA010000}"/>
    <cellStyle name="Comma 16 2 4 4 2" xfId="1029" xr:uid="{00000000-0005-0000-0000-0000EB010000}"/>
    <cellStyle name="Comma 16 2 4 4 2 2" xfId="2612" xr:uid="{00000000-0005-0000-0000-0000EC010000}"/>
    <cellStyle name="Comma 16 2 4 4 2 2 2" xfId="4194" xr:uid="{00000000-0005-0000-0000-0000ED010000}"/>
    <cellStyle name="Comma 16 2 4 4 2 3" xfId="1821" xr:uid="{00000000-0005-0000-0000-0000EE010000}"/>
    <cellStyle name="Comma 16 2 4 4 2 4" xfId="3403" xr:uid="{00000000-0005-0000-0000-0000EF010000}"/>
    <cellStyle name="Comma 16 2 4 4 3" xfId="2218" xr:uid="{00000000-0005-0000-0000-0000F0010000}"/>
    <cellStyle name="Comma 16 2 4 4 3 2" xfId="3800" xr:uid="{00000000-0005-0000-0000-0000F1010000}"/>
    <cellStyle name="Comma 16 2 4 4 4" xfId="1427" xr:uid="{00000000-0005-0000-0000-0000F2010000}"/>
    <cellStyle name="Comma 16 2 4 4 5" xfId="3009" xr:uid="{00000000-0005-0000-0000-0000F3010000}"/>
    <cellStyle name="Comma 16 2 4 5" xfId="808" xr:uid="{00000000-0005-0000-0000-0000F4010000}"/>
    <cellStyle name="Comma 16 2 4 5 2" xfId="2391" xr:uid="{00000000-0005-0000-0000-0000F5010000}"/>
    <cellStyle name="Comma 16 2 4 5 2 2" xfId="3973" xr:uid="{00000000-0005-0000-0000-0000F6010000}"/>
    <cellStyle name="Comma 16 2 4 5 3" xfId="1600" xr:uid="{00000000-0005-0000-0000-0000F7010000}"/>
    <cellStyle name="Comma 16 2 4 5 4" xfId="3182" xr:uid="{00000000-0005-0000-0000-0000F8010000}"/>
    <cellStyle name="Comma 16 2 4 6" xfId="1997" xr:uid="{00000000-0005-0000-0000-0000F9010000}"/>
    <cellStyle name="Comma 16 2 4 6 2" xfId="3579" xr:uid="{00000000-0005-0000-0000-0000FA010000}"/>
    <cellStyle name="Comma 16 2 4 7" xfId="1206" xr:uid="{00000000-0005-0000-0000-0000FB010000}"/>
    <cellStyle name="Comma 16 2 4 8" xfId="2788" xr:uid="{00000000-0005-0000-0000-0000FC010000}"/>
    <cellStyle name="Comma 16 2 5" xfId="440" xr:uid="{00000000-0005-0000-0000-0000FD010000}"/>
    <cellStyle name="Comma 16 2 5 2" xfId="516" xr:uid="{00000000-0005-0000-0000-0000FE010000}"/>
    <cellStyle name="Comma 16 2 5 2 2" xfId="744" xr:uid="{00000000-0005-0000-0000-0000FF010000}"/>
    <cellStyle name="Comma 16 2 5 2 2 2" xfId="1144" xr:uid="{00000000-0005-0000-0000-000000020000}"/>
    <cellStyle name="Comma 16 2 5 2 2 2 2" xfId="2727" xr:uid="{00000000-0005-0000-0000-000001020000}"/>
    <cellStyle name="Comma 16 2 5 2 2 2 2 2" xfId="4309" xr:uid="{00000000-0005-0000-0000-000002020000}"/>
    <cellStyle name="Comma 16 2 5 2 2 2 3" xfId="1936" xr:uid="{00000000-0005-0000-0000-000003020000}"/>
    <cellStyle name="Comma 16 2 5 2 2 2 4" xfId="3518" xr:uid="{00000000-0005-0000-0000-000004020000}"/>
    <cellStyle name="Comma 16 2 5 2 2 3" xfId="2333" xr:uid="{00000000-0005-0000-0000-000005020000}"/>
    <cellStyle name="Comma 16 2 5 2 2 3 2" xfId="3915" xr:uid="{00000000-0005-0000-0000-000006020000}"/>
    <cellStyle name="Comma 16 2 5 2 2 4" xfId="1542" xr:uid="{00000000-0005-0000-0000-000007020000}"/>
    <cellStyle name="Comma 16 2 5 2 2 5" xfId="3124" xr:uid="{00000000-0005-0000-0000-000008020000}"/>
    <cellStyle name="Comma 16 2 5 2 3" xfId="923" xr:uid="{00000000-0005-0000-0000-000009020000}"/>
    <cellStyle name="Comma 16 2 5 2 3 2" xfId="2506" xr:uid="{00000000-0005-0000-0000-00000A020000}"/>
    <cellStyle name="Comma 16 2 5 2 3 2 2" xfId="4088" xr:uid="{00000000-0005-0000-0000-00000B020000}"/>
    <cellStyle name="Comma 16 2 5 2 3 3" xfId="1715" xr:uid="{00000000-0005-0000-0000-00000C020000}"/>
    <cellStyle name="Comma 16 2 5 2 3 4" xfId="3297" xr:uid="{00000000-0005-0000-0000-00000D020000}"/>
    <cellStyle name="Comma 16 2 5 2 4" xfId="2112" xr:uid="{00000000-0005-0000-0000-00000E020000}"/>
    <cellStyle name="Comma 16 2 5 2 4 2" xfId="3694" xr:uid="{00000000-0005-0000-0000-00000F020000}"/>
    <cellStyle name="Comma 16 2 5 2 5" xfId="1321" xr:uid="{00000000-0005-0000-0000-000010020000}"/>
    <cellStyle name="Comma 16 2 5 2 6" xfId="2903" xr:uid="{00000000-0005-0000-0000-000011020000}"/>
    <cellStyle name="Comma 16 2 5 3" xfId="668" xr:uid="{00000000-0005-0000-0000-000012020000}"/>
    <cellStyle name="Comma 16 2 5 3 2" xfId="1068" xr:uid="{00000000-0005-0000-0000-000013020000}"/>
    <cellStyle name="Comma 16 2 5 3 2 2" xfId="2651" xr:uid="{00000000-0005-0000-0000-000014020000}"/>
    <cellStyle name="Comma 16 2 5 3 2 2 2" xfId="4233" xr:uid="{00000000-0005-0000-0000-000015020000}"/>
    <cellStyle name="Comma 16 2 5 3 2 3" xfId="1860" xr:uid="{00000000-0005-0000-0000-000016020000}"/>
    <cellStyle name="Comma 16 2 5 3 2 4" xfId="3442" xr:uid="{00000000-0005-0000-0000-000017020000}"/>
    <cellStyle name="Comma 16 2 5 3 3" xfId="2257" xr:uid="{00000000-0005-0000-0000-000018020000}"/>
    <cellStyle name="Comma 16 2 5 3 3 2" xfId="3839" xr:uid="{00000000-0005-0000-0000-000019020000}"/>
    <cellStyle name="Comma 16 2 5 3 4" xfId="1466" xr:uid="{00000000-0005-0000-0000-00001A020000}"/>
    <cellStyle name="Comma 16 2 5 3 5" xfId="3048" xr:uid="{00000000-0005-0000-0000-00001B020000}"/>
    <cellStyle name="Comma 16 2 5 4" xfId="847" xr:uid="{00000000-0005-0000-0000-00001C020000}"/>
    <cellStyle name="Comma 16 2 5 4 2" xfId="2430" xr:uid="{00000000-0005-0000-0000-00001D020000}"/>
    <cellStyle name="Comma 16 2 5 4 2 2" xfId="4012" xr:uid="{00000000-0005-0000-0000-00001E020000}"/>
    <cellStyle name="Comma 16 2 5 4 3" xfId="1639" xr:uid="{00000000-0005-0000-0000-00001F020000}"/>
    <cellStyle name="Comma 16 2 5 4 4" xfId="3221" xr:uid="{00000000-0005-0000-0000-000020020000}"/>
    <cellStyle name="Comma 16 2 5 5" xfId="2036" xr:uid="{00000000-0005-0000-0000-000021020000}"/>
    <cellStyle name="Comma 16 2 5 5 2" xfId="3618" xr:uid="{00000000-0005-0000-0000-000022020000}"/>
    <cellStyle name="Comma 16 2 5 6" xfId="1245" xr:uid="{00000000-0005-0000-0000-000023020000}"/>
    <cellStyle name="Comma 16 2 5 7" xfId="2827" xr:uid="{00000000-0005-0000-0000-000024020000}"/>
    <cellStyle name="Comma 16 2 6" xfId="446" xr:uid="{00000000-0005-0000-0000-000025020000}"/>
    <cellStyle name="Comma 16 2 6 2" xfId="674" xr:uid="{00000000-0005-0000-0000-000026020000}"/>
    <cellStyle name="Comma 16 2 6 2 2" xfId="1074" xr:uid="{00000000-0005-0000-0000-000027020000}"/>
    <cellStyle name="Comma 16 2 6 2 2 2" xfId="2657" xr:uid="{00000000-0005-0000-0000-000028020000}"/>
    <cellStyle name="Comma 16 2 6 2 2 2 2" xfId="4239" xr:uid="{00000000-0005-0000-0000-000029020000}"/>
    <cellStyle name="Comma 16 2 6 2 2 3" xfId="1866" xr:uid="{00000000-0005-0000-0000-00002A020000}"/>
    <cellStyle name="Comma 16 2 6 2 2 4" xfId="3448" xr:uid="{00000000-0005-0000-0000-00002B020000}"/>
    <cellStyle name="Comma 16 2 6 2 3" xfId="2263" xr:uid="{00000000-0005-0000-0000-00002C020000}"/>
    <cellStyle name="Comma 16 2 6 2 3 2" xfId="3845" xr:uid="{00000000-0005-0000-0000-00002D020000}"/>
    <cellStyle name="Comma 16 2 6 2 4" xfId="1472" xr:uid="{00000000-0005-0000-0000-00002E020000}"/>
    <cellStyle name="Comma 16 2 6 2 5" xfId="3054" xr:uid="{00000000-0005-0000-0000-00002F020000}"/>
    <cellStyle name="Comma 16 2 6 3" xfId="853" xr:uid="{00000000-0005-0000-0000-000030020000}"/>
    <cellStyle name="Comma 16 2 6 3 2" xfId="2436" xr:uid="{00000000-0005-0000-0000-000031020000}"/>
    <cellStyle name="Comma 16 2 6 3 2 2" xfId="4018" xr:uid="{00000000-0005-0000-0000-000032020000}"/>
    <cellStyle name="Comma 16 2 6 3 3" xfId="1645" xr:uid="{00000000-0005-0000-0000-000033020000}"/>
    <cellStyle name="Comma 16 2 6 3 4" xfId="3227" xr:uid="{00000000-0005-0000-0000-000034020000}"/>
    <cellStyle name="Comma 16 2 6 4" xfId="2042" xr:uid="{00000000-0005-0000-0000-000035020000}"/>
    <cellStyle name="Comma 16 2 6 4 2" xfId="3624" xr:uid="{00000000-0005-0000-0000-000036020000}"/>
    <cellStyle name="Comma 16 2 6 5" xfId="1251" xr:uid="{00000000-0005-0000-0000-000037020000}"/>
    <cellStyle name="Comma 16 2 6 6" xfId="2833" xr:uid="{00000000-0005-0000-0000-000038020000}"/>
    <cellStyle name="Comma 16 2 7" xfId="522" xr:uid="{00000000-0005-0000-0000-000039020000}"/>
    <cellStyle name="Comma 16 2 7 2" xfId="929" xr:uid="{00000000-0005-0000-0000-00003A020000}"/>
    <cellStyle name="Comma 16 2 7 2 2" xfId="2512" xr:uid="{00000000-0005-0000-0000-00003B020000}"/>
    <cellStyle name="Comma 16 2 7 2 2 2" xfId="4094" xr:uid="{00000000-0005-0000-0000-00003C020000}"/>
    <cellStyle name="Comma 16 2 7 2 3" xfId="1721" xr:uid="{00000000-0005-0000-0000-00003D020000}"/>
    <cellStyle name="Comma 16 2 7 2 4" xfId="3303" xr:uid="{00000000-0005-0000-0000-00003E020000}"/>
    <cellStyle name="Comma 16 2 7 3" xfId="2118" xr:uid="{00000000-0005-0000-0000-00003F020000}"/>
    <cellStyle name="Comma 16 2 7 3 2" xfId="3700" xr:uid="{00000000-0005-0000-0000-000040020000}"/>
    <cellStyle name="Comma 16 2 7 4" xfId="1327" xr:uid="{00000000-0005-0000-0000-000041020000}"/>
    <cellStyle name="Comma 16 2 7 5" xfId="2909" xr:uid="{00000000-0005-0000-0000-000042020000}"/>
    <cellStyle name="Comma 16 2 8" xfId="598" xr:uid="{00000000-0005-0000-0000-000043020000}"/>
    <cellStyle name="Comma 16 2 8 2" xfId="998" xr:uid="{00000000-0005-0000-0000-000044020000}"/>
    <cellStyle name="Comma 16 2 8 2 2" xfId="2581" xr:uid="{00000000-0005-0000-0000-000045020000}"/>
    <cellStyle name="Comma 16 2 8 2 2 2" xfId="4163" xr:uid="{00000000-0005-0000-0000-000046020000}"/>
    <cellStyle name="Comma 16 2 8 2 3" xfId="1790" xr:uid="{00000000-0005-0000-0000-000047020000}"/>
    <cellStyle name="Comma 16 2 8 2 4" xfId="3372" xr:uid="{00000000-0005-0000-0000-000048020000}"/>
    <cellStyle name="Comma 16 2 8 3" xfId="2187" xr:uid="{00000000-0005-0000-0000-000049020000}"/>
    <cellStyle name="Comma 16 2 8 3 2" xfId="3769" xr:uid="{00000000-0005-0000-0000-00004A020000}"/>
    <cellStyle name="Comma 16 2 8 4" xfId="1396" xr:uid="{00000000-0005-0000-0000-00004B020000}"/>
    <cellStyle name="Comma 16 2 8 5" xfId="2978" xr:uid="{00000000-0005-0000-0000-00004C020000}"/>
    <cellStyle name="Comma 16 2 9" xfId="750" xr:uid="{00000000-0005-0000-0000-00004D020000}"/>
    <cellStyle name="Comma 16 2 9 2" xfId="1150" xr:uid="{00000000-0005-0000-0000-00004E020000}"/>
    <cellStyle name="Comma 16 2 9 2 2" xfId="2733" xr:uid="{00000000-0005-0000-0000-00004F020000}"/>
    <cellStyle name="Comma 16 2 9 2 2 2" xfId="4315" xr:uid="{00000000-0005-0000-0000-000050020000}"/>
    <cellStyle name="Comma 16 2 9 2 3" xfId="1942" xr:uid="{00000000-0005-0000-0000-000051020000}"/>
    <cellStyle name="Comma 16 2 9 2 4" xfId="3524" xr:uid="{00000000-0005-0000-0000-000052020000}"/>
    <cellStyle name="Comma 16 2 9 3" xfId="2339" xr:uid="{00000000-0005-0000-0000-000053020000}"/>
    <cellStyle name="Comma 16 2 9 3 2" xfId="3921" xr:uid="{00000000-0005-0000-0000-000054020000}"/>
    <cellStyle name="Comma 16 2 9 4" xfId="1548" xr:uid="{00000000-0005-0000-0000-000055020000}"/>
    <cellStyle name="Comma 16 2 9 5" xfId="3130" xr:uid="{00000000-0005-0000-0000-000056020000}"/>
    <cellStyle name="Comma 16 3" xfId="128" xr:uid="{00000000-0005-0000-0000-000057020000}"/>
    <cellStyle name="Comma 16 3 2" xfId="321" xr:uid="{00000000-0005-0000-0000-000058020000}"/>
    <cellStyle name="Comma 16 3 2 2" xfId="336" xr:uid="{00000000-0005-0000-0000-000059020000}"/>
    <cellStyle name="Comma 16 3 2 2 2" xfId="422" xr:uid="{00000000-0005-0000-0000-00005A020000}"/>
    <cellStyle name="Comma 16 3 2 2 2 2" xfId="4714" xr:uid="{306D71EE-1D19-4086-9764-2A4E6FD655FC}"/>
    <cellStyle name="Comma 16 3 2 2 2 2 2" xfId="5035" xr:uid="{B2008773-40CD-43A0-AD07-E52898E94216}"/>
    <cellStyle name="Comma 16 3 2 2 2 3" xfId="4808" xr:uid="{0B4FF4B7-ADA7-4474-A836-897FC4588A57}"/>
    <cellStyle name="Comma 16 3 2 2 2 3 2" xfId="5101" xr:uid="{D3FC74A8-5B2B-45D2-A2EE-328F0834F830}"/>
    <cellStyle name="Comma 16 3 2 2 2 4" xfId="4519" xr:uid="{88066FFB-6981-46A0-85B7-660913CF8FF1}"/>
    <cellStyle name="Comma 16 3 2 2 2 5" xfId="4915" xr:uid="{50DDCDFB-F14E-4541-8637-4291D8A9567D}"/>
    <cellStyle name="Comma 16 3 2 2 3" xfId="4713" xr:uid="{31FD32D2-ABAC-4EC3-85D3-6BC770204126}"/>
    <cellStyle name="Comma 16 3 2 2 3 2" xfId="5034" xr:uid="{24E0AFF7-E51A-4E07-A1ED-9D0935273B45}"/>
    <cellStyle name="Comma 16 3 2 2 4" xfId="4809" xr:uid="{B090ADF7-0DC1-489B-AE73-5B088B9A8A42}"/>
    <cellStyle name="Comma 16 3 2 2 4 2" xfId="5102" xr:uid="{48D9C035-C1CD-4C36-AF25-75051BC813A7}"/>
    <cellStyle name="Comma 16 3 2 2 5" xfId="4518" xr:uid="{7E3DEB99-4962-4F9B-B1B9-79174DCA138E}"/>
    <cellStyle name="Comma 16 3 2 2 6" xfId="4914" xr:uid="{A4E7825A-4A47-4238-993D-C2B3D3CD0A79}"/>
    <cellStyle name="Comma 16 3 2 3" xfId="407" xr:uid="{00000000-0005-0000-0000-00005B020000}"/>
    <cellStyle name="Comma 16 3 2 3 2" xfId="4715" xr:uid="{0525A32E-D943-4555-863D-2242984AE6FA}"/>
    <cellStyle name="Comma 16 3 2 3 2 2" xfId="5036" xr:uid="{35BD731A-F451-40D3-8DDB-1F37E94375DD}"/>
    <cellStyle name="Comma 16 3 2 3 3" xfId="4810" xr:uid="{09C3DE66-0495-4695-84C8-5752349C67DF}"/>
    <cellStyle name="Comma 16 3 2 3 3 2" xfId="5103" xr:uid="{2A2A9356-BA6C-4AE8-A534-D7BC69CA333B}"/>
    <cellStyle name="Comma 16 3 2 3 4" xfId="4520" xr:uid="{B19BE06F-455A-42FB-8100-1E5515996A3A}"/>
    <cellStyle name="Comma 16 3 2 3 5" xfId="4916" xr:uid="{C45814CA-989B-472E-8B23-5692F9CA6746}"/>
    <cellStyle name="Comma 16 3 2 4" xfId="4712" xr:uid="{AA143FA1-8E18-42A4-9138-79545504B1F6}"/>
    <cellStyle name="Comma 16 3 2 4 2" xfId="5033" xr:uid="{82C85C9D-AC1E-4A2F-B422-05ECD357CDCF}"/>
    <cellStyle name="Comma 16 3 2 5" xfId="4811" xr:uid="{854794BB-2AB5-4EDF-924F-0E0435D81F28}"/>
    <cellStyle name="Comma 16 3 2 5 2" xfId="5104" xr:uid="{04A0EDB2-02E7-495A-8060-05810EB46382}"/>
    <cellStyle name="Comma 16 3 2 6" xfId="4517" xr:uid="{CE4C0EA4-F23C-4931-BEE2-DDE8ECC4DA71}"/>
    <cellStyle name="Comma 16 3 2 7" xfId="4913" xr:uid="{C78502FF-17DD-405D-B926-772EADAE2D5A}"/>
    <cellStyle name="Comma 16 3 3" xfId="329" xr:uid="{00000000-0005-0000-0000-00005C020000}"/>
    <cellStyle name="Comma 16 3 3 2" xfId="415" xr:uid="{00000000-0005-0000-0000-00005D020000}"/>
    <cellStyle name="Comma 16 3 3 2 2" xfId="4717" xr:uid="{EAF4203E-BEEB-4FE9-919A-032D4252F638}"/>
    <cellStyle name="Comma 16 3 3 2 2 2" xfId="5038" xr:uid="{DED81985-6A5D-413F-AE25-133DB6B774E1}"/>
    <cellStyle name="Comma 16 3 3 2 3" xfId="4812" xr:uid="{8B511AFA-C69C-4EA4-BE87-5A8FFD9DE762}"/>
    <cellStyle name="Comma 16 3 3 2 3 2" xfId="5105" xr:uid="{98FC9909-949F-4F3A-BF83-48BEC594984B}"/>
    <cellStyle name="Comma 16 3 3 2 4" xfId="4522" xr:uid="{CCD18752-3AA7-4A13-881E-D9A52D6274F4}"/>
    <cellStyle name="Comma 16 3 3 2 5" xfId="4918" xr:uid="{7DD2CFD6-D192-4883-90F0-350D086958EE}"/>
    <cellStyle name="Comma 16 3 3 3" xfId="4716" xr:uid="{0D2546B4-F839-48CA-9AD3-A84989E5E381}"/>
    <cellStyle name="Comma 16 3 3 3 2" xfId="5037" xr:uid="{CEE3B1ED-0582-42BA-9D4D-01D3DCEA84E4}"/>
    <cellStyle name="Comma 16 3 3 4" xfId="4813" xr:uid="{444397E5-D109-4D68-85AA-587E6BB450A6}"/>
    <cellStyle name="Comma 16 3 3 4 2" xfId="5106" xr:uid="{25F27C2B-FB3E-4F91-BC82-BAF7CC3CE517}"/>
    <cellStyle name="Comma 16 3 3 5" xfId="4521" xr:uid="{998FF7F8-2805-41F7-A98B-9A4BF75D75A9}"/>
    <cellStyle name="Comma 16 3 3 6" xfId="4917" xr:uid="{8256EC9B-9FAA-4DB1-AA74-10E53D35B472}"/>
    <cellStyle name="Comma 16 3 4" xfId="400" xr:uid="{00000000-0005-0000-0000-00005E020000}"/>
    <cellStyle name="Comma 16 3 4 2" xfId="4718" xr:uid="{AC00E7CB-C739-4B37-85FA-FBB4DE506DB3}"/>
    <cellStyle name="Comma 16 3 4 2 2" xfId="5039" xr:uid="{81AAA397-B158-4D60-99CA-91A0FD3C9A02}"/>
    <cellStyle name="Comma 16 3 4 3" xfId="4814" xr:uid="{46D8D54D-0E47-4D9A-94F4-47B0204182F6}"/>
    <cellStyle name="Comma 16 3 4 3 2" xfId="5107" xr:uid="{0402864C-05DD-45B2-B555-4BE671090708}"/>
    <cellStyle name="Comma 16 3 4 4" xfId="4523" xr:uid="{8B425A7F-6840-4930-983C-C8547F0B68C7}"/>
    <cellStyle name="Comma 16 3 4 5" xfId="4919" xr:uid="{5E1B2C23-E751-4A13-BEAC-06963AD1B954}"/>
    <cellStyle name="Comma 16 3 5" xfId="4711" xr:uid="{57466359-FCB7-47EB-86FD-38DF60075D8A}"/>
    <cellStyle name="Comma 16 3 5 2" xfId="5032" xr:uid="{F88CB021-8BF3-488E-99C8-143B286DC028}"/>
    <cellStyle name="Comma 16 3 6" xfId="4815" xr:uid="{EA5A26EC-62F3-401C-87EC-012464B30565}"/>
    <cellStyle name="Comma 16 3 6 2" xfId="5108" xr:uid="{08073CA1-146B-4AD0-ACC6-B0E766B62A0A}"/>
    <cellStyle name="Comma 16 3 7" xfId="4516" xr:uid="{18C316B2-F0FA-4473-A200-CA4F36D51FD7}"/>
    <cellStyle name="Comma 16 3 8" xfId="4912" xr:uid="{0CD3B41D-93CD-4EB5-AFC5-C0A2F7261A4E}"/>
    <cellStyle name="Comma 16 4" xfId="320" xr:uid="{00000000-0005-0000-0000-00005F020000}"/>
    <cellStyle name="Comma 16 4 2" xfId="335" xr:uid="{00000000-0005-0000-0000-000060020000}"/>
    <cellStyle name="Comma 16 4 2 2" xfId="421" xr:uid="{00000000-0005-0000-0000-000061020000}"/>
    <cellStyle name="Comma 16 4 2 2 2" xfId="4721" xr:uid="{7EEDAF4B-CFD1-4E99-BB70-9A7F60A3590F}"/>
    <cellStyle name="Comma 16 4 2 2 2 2" xfId="5042" xr:uid="{A1DB58FC-74BD-4E34-B2F9-A20820D6953B}"/>
    <cellStyle name="Comma 16 4 2 2 3" xfId="4816" xr:uid="{04151E86-F250-480A-A710-03601C2DD503}"/>
    <cellStyle name="Comma 16 4 2 2 3 2" xfId="5109" xr:uid="{31A92A50-8477-4196-AA4E-599076CD1E0C}"/>
    <cellStyle name="Comma 16 4 2 2 4" xfId="4526" xr:uid="{F892260B-E1D8-4C08-BF9D-64B16F10DAB7}"/>
    <cellStyle name="Comma 16 4 2 2 5" xfId="4922" xr:uid="{470E0330-427E-4176-B621-9FD4313DDA11}"/>
    <cellStyle name="Comma 16 4 2 3" xfId="4720" xr:uid="{71D47AC7-EA38-4635-972C-D7C39D98358F}"/>
    <cellStyle name="Comma 16 4 2 3 2" xfId="5041" xr:uid="{DC09DFF6-A521-434C-85B1-AD1AB19D2CA4}"/>
    <cellStyle name="Comma 16 4 2 4" xfId="4817" xr:uid="{8320C689-0A7D-4B82-B18A-8E71B4B98780}"/>
    <cellStyle name="Comma 16 4 2 4 2" xfId="5110" xr:uid="{0E6ABDB1-86A0-4770-AA4F-974EB61AAF83}"/>
    <cellStyle name="Comma 16 4 2 5" xfId="4525" xr:uid="{FA1AF017-7814-4ABB-9FE7-F7C0D83CD8DC}"/>
    <cellStyle name="Comma 16 4 2 6" xfId="4921" xr:uid="{7953A589-F761-429E-BC74-9784DB266DE5}"/>
    <cellStyle name="Comma 16 4 3" xfId="406" xr:uid="{00000000-0005-0000-0000-000062020000}"/>
    <cellStyle name="Comma 16 4 3 2" xfId="4722" xr:uid="{9C3231C5-C602-482D-93ED-AD2CC23F54F9}"/>
    <cellStyle name="Comma 16 4 3 2 2" xfId="5043" xr:uid="{6973F5B0-9F87-40F4-B6BB-F1B6646C36F6}"/>
    <cellStyle name="Comma 16 4 3 3" xfId="4818" xr:uid="{70AD1FC3-FDD6-4E5F-A20F-06C6A5B751C1}"/>
    <cellStyle name="Comma 16 4 3 3 2" xfId="5111" xr:uid="{8A52702F-B2A6-42A7-AB19-089E812C1107}"/>
    <cellStyle name="Comma 16 4 3 4" xfId="4527" xr:uid="{F17DB203-281E-4671-8012-CE60F2C146E2}"/>
    <cellStyle name="Comma 16 4 3 5" xfId="4923" xr:uid="{020376DF-1C69-410A-A5B9-623534D8B966}"/>
    <cellStyle name="Comma 16 4 4" xfId="4719" xr:uid="{9784333B-C840-439B-9B9E-5D7B95BD86B6}"/>
    <cellStyle name="Comma 16 4 4 2" xfId="5040" xr:uid="{9E096B89-A31D-4A1A-BE82-9AA7988319DC}"/>
    <cellStyle name="Comma 16 4 5" xfId="4819" xr:uid="{B789ED4D-04C1-44D8-9501-8F0E60DEACCF}"/>
    <cellStyle name="Comma 16 4 5 2" xfId="5112" xr:uid="{EEFADD9D-1B79-40B0-987C-DE501B860FAE}"/>
    <cellStyle name="Comma 16 4 6" xfId="4524" xr:uid="{BBBEB7C9-BAFE-4E45-9D03-C80A552D187B}"/>
    <cellStyle name="Comma 16 4 7" xfId="4920" xr:uid="{B08AAB63-E437-42BD-BC07-AD28E4839947}"/>
    <cellStyle name="Comma 16 5" xfId="328" xr:uid="{00000000-0005-0000-0000-000063020000}"/>
    <cellStyle name="Comma 16 5 2" xfId="414" xr:uid="{00000000-0005-0000-0000-000064020000}"/>
    <cellStyle name="Comma 16 5 2 2" xfId="4724" xr:uid="{C2B42E9C-F040-46F3-8ADC-3A7BBFF320C1}"/>
    <cellStyle name="Comma 16 5 2 2 2" xfId="5045" xr:uid="{33B82B60-E7A7-4C4D-A09E-D8066B7CE235}"/>
    <cellStyle name="Comma 16 5 2 3" xfId="4820" xr:uid="{E88823B5-A1B2-471C-A655-A8F640B59818}"/>
    <cellStyle name="Comma 16 5 2 3 2" xfId="5113" xr:uid="{7E3D60CC-4FA3-444B-85A0-E5C5C60052AD}"/>
    <cellStyle name="Comma 16 5 2 4" xfId="4529" xr:uid="{CDB2F4A7-9293-4513-BA9F-19B26B912CDF}"/>
    <cellStyle name="Comma 16 5 2 5" xfId="4925" xr:uid="{9AD5E0CB-2449-4D17-9026-75FEA525940D}"/>
    <cellStyle name="Comma 16 5 3" xfId="4723" xr:uid="{0DD4016C-94D8-4229-AA96-3DD68FEC2494}"/>
    <cellStyle name="Comma 16 5 3 2" xfId="5044" xr:uid="{CE630C4A-89CB-4537-BBDE-232F7BFB010E}"/>
    <cellStyle name="Comma 16 5 4" xfId="4821" xr:uid="{1B401775-A727-4499-BFA2-318D0340268D}"/>
    <cellStyle name="Comma 16 5 4 2" xfId="5114" xr:uid="{091360D9-C71E-43F5-8B02-7419919EEC81}"/>
    <cellStyle name="Comma 16 5 5" xfId="4528" xr:uid="{52C73C70-5DF7-4587-81E6-8CD665A2D6A1}"/>
    <cellStyle name="Comma 16 5 6" xfId="4924" xr:uid="{B4BFAF82-4CB5-40A0-BF8B-66B8F6EB8CB4}"/>
    <cellStyle name="Comma 16 6" xfId="399" xr:uid="{00000000-0005-0000-0000-000065020000}"/>
    <cellStyle name="Comma 16 6 2" xfId="4725" xr:uid="{D9670CF7-648D-4694-B949-B5CD32A7A23A}"/>
    <cellStyle name="Comma 16 6 2 2" xfId="5046" xr:uid="{26397917-F43B-445A-8796-74C7E83CB471}"/>
    <cellStyle name="Comma 16 6 3" xfId="4822" xr:uid="{4AFFD7D4-21D1-42D2-9DDC-6CC1C83332A9}"/>
    <cellStyle name="Comma 16 6 3 2" xfId="5115" xr:uid="{4A5A3783-2F9C-4209-AD58-230B9BD20CE0}"/>
    <cellStyle name="Comma 16 6 4" xfId="4530" xr:uid="{F7B543AD-0960-4B88-89A8-E3125856B1A7}"/>
    <cellStyle name="Comma 16 6 5" xfId="4926" xr:uid="{7142C59E-F1B6-48B0-8E2C-6E94922B739D}"/>
    <cellStyle name="Comma 16 7" xfId="4710" xr:uid="{90C8788E-5A8A-4F72-A3FF-C3FA30F9B9CE}"/>
    <cellStyle name="Comma 16 7 2" xfId="5031" xr:uid="{D2DD0311-B90B-46E9-95E5-415DC4663C64}"/>
    <cellStyle name="Comma 16 8" xfId="4823" xr:uid="{50185B56-B59C-4748-B177-53C218908FC2}"/>
    <cellStyle name="Comma 16 8 2" xfId="5116" xr:uid="{C246DDBF-679E-40FB-B600-E63150311911}"/>
    <cellStyle name="Comma 16 9" xfId="4515" xr:uid="{B9CF232D-677E-4586-8E4D-FE7AC3FBFCCC}"/>
    <cellStyle name="Comma 17" xfId="129" xr:uid="{00000000-0005-0000-0000-000066020000}"/>
    <cellStyle name="Comma 17 2" xfId="130" xr:uid="{00000000-0005-0000-0000-000067020000}"/>
    <cellStyle name="Comma 17 2 2" xfId="296" xr:uid="{00000000-0005-0000-0000-000068020000}"/>
    <cellStyle name="Comma 17 2 2 2" xfId="315" xr:uid="{00000000-0005-0000-0000-000069020000}"/>
    <cellStyle name="Comma 17 2 2 2 2" xfId="393" xr:uid="{00000000-0005-0000-0000-00006A020000}"/>
    <cellStyle name="Comma 17 2 2 3" xfId="374" xr:uid="{00000000-0005-0000-0000-00006B020000}"/>
    <cellStyle name="Comma 17 2 3" xfId="306" xr:uid="{00000000-0005-0000-0000-00006C020000}"/>
    <cellStyle name="Comma 17 2 3 2" xfId="384" xr:uid="{00000000-0005-0000-0000-00006D020000}"/>
    <cellStyle name="Comma 17 2 4" xfId="359" xr:uid="{00000000-0005-0000-0000-00006E020000}"/>
    <cellStyle name="Comma 17 3" xfId="295" xr:uid="{00000000-0005-0000-0000-00006F020000}"/>
    <cellStyle name="Comma 17 3 2" xfId="314" xr:uid="{00000000-0005-0000-0000-000070020000}"/>
    <cellStyle name="Comma 17 3 2 2" xfId="392" xr:uid="{00000000-0005-0000-0000-000071020000}"/>
    <cellStyle name="Comma 17 3 3" xfId="373" xr:uid="{00000000-0005-0000-0000-000072020000}"/>
    <cellStyle name="Comma 17 4" xfId="305" xr:uid="{00000000-0005-0000-0000-000073020000}"/>
    <cellStyle name="Comma 17 4 2" xfId="383" xr:uid="{00000000-0005-0000-0000-000074020000}"/>
    <cellStyle name="Comma 17 5" xfId="358" xr:uid="{00000000-0005-0000-0000-000075020000}"/>
    <cellStyle name="Comma 18" xfId="131" xr:uid="{00000000-0005-0000-0000-000076020000}"/>
    <cellStyle name="Comma 18 2" xfId="132" xr:uid="{00000000-0005-0000-0000-000077020000}"/>
    <cellStyle name="Comma 18 2 2" xfId="322" xr:uid="{00000000-0005-0000-0000-000078020000}"/>
    <cellStyle name="Comma 18 2 2 2" xfId="337" xr:uid="{00000000-0005-0000-0000-000079020000}"/>
    <cellStyle name="Comma 18 2 2 2 2" xfId="423" xr:uid="{00000000-0005-0000-0000-00007A020000}"/>
    <cellStyle name="Comma 18 2 2 2 2 2" xfId="4729" xr:uid="{DCA9FC81-464F-4DFC-B33C-EB65DCA1DAE2}"/>
    <cellStyle name="Comma 18 2 2 2 2 2 2" xfId="5050" xr:uid="{E77B95F8-A9D3-495B-845C-0E249068B079}"/>
    <cellStyle name="Comma 18 2 2 2 2 3" xfId="4824" xr:uid="{737318EA-7BD7-44EE-9CF3-0E26D5344D2F}"/>
    <cellStyle name="Comma 18 2 2 2 2 3 2" xfId="5117" xr:uid="{266FC64F-B159-4199-90C1-BB80A1402EAF}"/>
    <cellStyle name="Comma 18 2 2 2 2 4" xfId="4534" xr:uid="{67ED7125-DB04-4E1E-BFC5-9FB8DAAB39AB}"/>
    <cellStyle name="Comma 18 2 2 2 2 5" xfId="4930" xr:uid="{0483246C-FE4A-4CD7-8FA9-417AA1BA1E75}"/>
    <cellStyle name="Comma 18 2 2 2 3" xfId="4728" xr:uid="{BDEA736A-D863-4A13-8350-D2F5A64816BB}"/>
    <cellStyle name="Comma 18 2 2 2 3 2" xfId="5049" xr:uid="{615B7727-941F-4BA7-A116-1167B0DDD010}"/>
    <cellStyle name="Comma 18 2 2 2 4" xfId="4825" xr:uid="{9E4991F7-146F-4750-B10F-DC09C9B74CB2}"/>
    <cellStyle name="Comma 18 2 2 2 4 2" xfId="5118" xr:uid="{992FF4B7-CFA5-4CC8-98CE-492BE355793E}"/>
    <cellStyle name="Comma 18 2 2 2 5" xfId="4533" xr:uid="{64B0F3A3-81C6-42A6-9D9E-D762273AEC42}"/>
    <cellStyle name="Comma 18 2 2 2 6" xfId="4929" xr:uid="{CAB8238D-E10C-40BF-AA22-171B01C75EDC}"/>
    <cellStyle name="Comma 18 2 2 3" xfId="408" xr:uid="{00000000-0005-0000-0000-00007B020000}"/>
    <cellStyle name="Comma 18 2 2 3 2" xfId="4730" xr:uid="{0D8A2C5E-A29E-46EC-A759-196A5496F59C}"/>
    <cellStyle name="Comma 18 2 2 3 2 2" xfId="5051" xr:uid="{9D3FA09B-C0F2-43B9-B924-026B5630D111}"/>
    <cellStyle name="Comma 18 2 2 3 3" xfId="4826" xr:uid="{EE3CF3A2-8CCD-46F2-8390-181E151CE14A}"/>
    <cellStyle name="Comma 18 2 2 3 3 2" xfId="5119" xr:uid="{FA6C0C71-962B-4543-87FF-E00CF637EC31}"/>
    <cellStyle name="Comma 18 2 2 3 4" xfId="4535" xr:uid="{C683A2D2-567E-4200-8A8B-89F28168BFA5}"/>
    <cellStyle name="Comma 18 2 2 3 5" xfId="4931" xr:uid="{F8AE0752-BA74-43E0-8A3F-DD38FEABBB1A}"/>
    <cellStyle name="Comma 18 2 2 4" xfId="4727" xr:uid="{957887F7-1116-4379-BD96-583F846B6B7F}"/>
    <cellStyle name="Comma 18 2 2 4 2" xfId="5048" xr:uid="{EC597109-CED9-45BC-B472-8CCF5A1B21C8}"/>
    <cellStyle name="Comma 18 2 2 5" xfId="4827" xr:uid="{0A8377B0-36ED-444C-B1DF-EBA34560446C}"/>
    <cellStyle name="Comma 18 2 2 5 2" xfId="5120" xr:uid="{478F1BE3-E941-4718-B5E2-0E7729A19035}"/>
    <cellStyle name="Comma 18 2 2 6" xfId="4532" xr:uid="{24BD5AB4-0DB9-4A47-8B01-F40E85F77751}"/>
    <cellStyle name="Comma 18 2 2 7" xfId="4928" xr:uid="{D8FD0ADE-38A5-4BF6-A259-D8172EE714B5}"/>
    <cellStyle name="Comma 18 2 3" xfId="330" xr:uid="{00000000-0005-0000-0000-00007C020000}"/>
    <cellStyle name="Comma 18 2 3 2" xfId="416" xr:uid="{00000000-0005-0000-0000-00007D020000}"/>
    <cellStyle name="Comma 18 2 3 2 2" xfId="4732" xr:uid="{1D5A2A1B-4C31-473D-AEDA-940EE47A7901}"/>
    <cellStyle name="Comma 18 2 3 2 2 2" xfId="5053" xr:uid="{C8FF47AF-A486-46F2-8739-18F646927866}"/>
    <cellStyle name="Comma 18 2 3 2 3" xfId="4828" xr:uid="{02BAC312-2A2F-409C-9507-CB7F2764C689}"/>
    <cellStyle name="Comma 18 2 3 2 3 2" xfId="5121" xr:uid="{FE5EB655-22D6-4873-AEA1-3677C9892A6B}"/>
    <cellStyle name="Comma 18 2 3 2 4" xfId="4537" xr:uid="{54EC8BEB-744D-422E-B954-9EBCD46D0A5D}"/>
    <cellStyle name="Comma 18 2 3 2 5" xfId="4933" xr:uid="{C9651E2C-F54E-4917-8FE5-F2400BC067E2}"/>
    <cellStyle name="Comma 18 2 3 3" xfId="4731" xr:uid="{5D4AAD3A-9FB9-4444-80B7-86B3B1302C28}"/>
    <cellStyle name="Comma 18 2 3 3 2" xfId="5052" xr:uid="{CEAB7F6E-31B4-46D3-912A-26730884033C}"/>
    <cellStyle name="Comma 18 2 3 4" xfId="4829" xr:uid="{605742DA-939C-43F1-B08C-52A1E381F8D2}"/>
    <cellStyle name="Comma 18 2 3 4 2" xfId="5122" xr:uid="{A130BDCD-6132-4763-AB2A-5BC09E06970B}"/>
    <cellStyle name="Comma 18 2 3 5" xfId="4536" xr:uid="{A4C8D812-9B78-471C-B60A-33A4CAACEE4A}"/>
    <cellStyle name="Comma 18 2 3 6" xfId="4932" xr:uid="{AA510495-1D70-49D6-92DC-0EA654A24D8A}"/>
    <cellStyle name="Comma 18 2 4" xfId="401" xr:uid="{00000000-0005-0000-0000-00007E020000}"/>
    <cellStyle name="Comma 18 2 4 2" xfId="4733" xr:uid="{2D5D07D0-AA01-4AA2-9E0B-E9618479E563}"/>
    <cellStyle name="Comma 18 2 4 2 2" xfId="5054" xr:uid="{E4AEBC58-4EDB-4CF0-816C-8F3D5EC82742}"/>
    <cellStyle name="Comma 18 2 4 3" xfId="4830" xr:uid="{143C7196-7508-4F43-A685-5B424E0279BE}"/>
    <cellStyle name="Comma 18 2 4 3 2" xfId="5123" xr:uid="{1DB6A648-BB26-4F9C-AA32-6F2A6A691D9F}"/>
    <cellStyle name="Comma 18 2 4 4" xfId="4538" xr:uid="{1A0CF27F-451D-4E8B-AF27-DE166024EE93}"/>
    <cellStyle name="Comma 18 2 4 5" xfId="4934" xr:uid="{D817FCD1-FF29-4F03-B0C1-9A282065E7AF}"/>
    <cellStyle name="Comma 18 2 5" xfId="4726" xr:uid="{AE414A65-5079-4E6C-863B-FE4DE8B3D332}"/>
    <cellStyle name="Comma 18 2 5 2" xfId="5047" xr:uid="{64C9BD58-3941-40DD-87E6-31BC1AA13862}"/>
    <cellStyle name="Comma 18 2 6" xfId="4831" xr:uid="{5A150161-36C9-48E3-87E0-65BF009BDC83}"/>
    <cellStyle name="Comma 18 2 6 2" xfId="5124" xr:uid="{C84DB8FE-38C2-424B-B7E7-CAD7FEC1E557}"/>
    <cellStyle name="Comma 18 2 7" xfId="4531" xr:uid="{F4038447-9A0C-45CE-9079-1E427C36DABE}"/>
    <cellStyle name="Comma 18 2 8" xfId="4927" xr:uid="{89346CC8-F4A2-426F-9915-FB9727F4E2B1}"/>
    <cellStyle name="Comma 18 3" xfId="297" xr:uid="{00000000-0005-0000-0000-00007F020000}"/>
    <cellStyle name="Comma 18 3 2" xfId="316" xr:uid="{00000000-0005-0000-0000-000080020000}"/>
    <cellStyle name="Comma 18 3 2 2" xfId="394" xr:uid="{00000000-0005-0000-0000-000081020000}"/>
    <cellStyle name="Comma 18 3 3" xfId="375" xr:uid="{00000000-0005-0000-0000-000082020000}"/>
    <cellStyle name="Comma 18 4" xfId="307" xr:uid="{00000000-0005-0000-0000-000083020000}"/>
    <cellStyle name="Comma 18 4 2" xfId="385" xr:uid="{00000000-0005-0000-0000-000084020000}"/>
    <cellStyle name="Comma 18 5" xfId="360" xr:uid="{00000000-0005-0000-0000-000085020000}"/>
    <cellStyle name="Comma 19" xfId="133" xr:uid="{00000000-0005-0000-0000-000086020000}"/>
    <cellStyle name="Comma 19 2" xfId="134" xr:uid="{00000000-0005-0000-0000-000087020000}"/>
    <cellStyle name="Comma 2" xfId="135" xr:uid="{00000000-0005-0000-0000-000088020000}"/>
    <cellStyle name="Comma 2 2" xfId="136" xr:uid="{00000000-0005-0000-0000-000089020000}"/>
    <cellStyle name="Comma 2 3" xfId="137" xr:uid="{00000000-0005-0000-0000-00008A020000}"/>
    <cellStyle name="Comma 2 3 2" xfId="323" xr:uid="{00000000-0005-0000-0000-00008B020000}"/>
    <cellStyle name="Comma 2 3 2 2" xfId="338" xr:uid="{00000000-0005-0000-0000-00008C020000}"/>
    <cellStyle name="Comma 2 3 2 2 2" xfId="424" xr:uid="{00000000-0005-0000-0000-00008D020000}"/>
    <cellStyle name="Comma 2 3 2 2 2 2" xfId="4737" xr:uid="{7E2A0BB0-9422-42BB-9805-1049EE45A841}"/>
    <cellStyle name="Comma 2 3 2 2 2 2 2" xfId="5058" xr:uid="{5CD15A1C-0266-4EFA-A81D-03A046965298}"/>
    <cellStyle name="Comma 2 3 2 2 2 3" xfId="4832" xr:uid="{723C96DB-3EAF-436D-BE34-82743D7D346D}"/>
    <cellStyle name="Comma 2 3 2 2 2 3 2" xfId="5125" xr:uid="{980D5832-8F01-4D20-B9F2-3DB275B96FF0}"/>
    <cellStyle name="Comma 2 3 2 2 2 4" xfId="4542" xr:uid="{3D1DD160-8A66-4FA2-850A-79B32818F998}"/>
    <cellStyle name="Comma 2 3 2 2 2 5" xfId="4938" xr:uid="{28D76FEA-E339-4E2C-AF41-1D5495FE3B34}"/>
    <cellStyle name="Comma 2 3 2 2 3" xfId="4736" xr:uid="{D8438363-0315-42FB-9160-7D96BDE0D80F}"/>
    <cellStyle name="Comma 2 3 2 2 3 2" xfId="5057" xr:uid="{38516933-483B-4B6C-A1C2-E714927E5C2E}"/>
    <cellStyle name="Comma 2 3 2 2 4" xfId="4833" xr:uid="{32D8BDD4-88FE-4729-B5FC-66F4F6247352}"/>
    <cellStyle name="Comma 2 3 2 2 4 2" xfId="5126" xr:uid="{BD4BAB61-36CF-4271-8F25-FF0746FECA52}"/>
    <cellStyle name="Comma 2 3 2 2 5" xfId="4541" xr:uid="{E72E837E-1C0B-4B67-A59E-2DF76C207480}"/>
    <cellStyle name="Comma 2 3 2 2 6" xfId="4937" xr:uid="{87B2E849-5332-42ED-81FE-F19520E3D8CC}"/>
    <cellStyle name="Comma 2 3 2 3" xfId="409" xr:uid="{00000000-0005-0000-0000-00008E020000}"/>
    <cellStyle name="Comma 2 3 2 3 2" xfId="4738" xr:uid="{E9A24DEA-9897-4F47-8D54-EEEB8163EAFE}"/>
    <cellStyle name="Comma 2 3 2 3 2 2" xfId="5059" xr:uid="{C7DD24D7-9312-4B83-916F-61EE77B65454}"/>
    <cellStyle name="Comma 2 3 2 3 3" xfId="4834" xr:uid="{6CBC4DD6-C9D8-43F2-B5F1-EE78B8E2765F}"/>
    <cellStyle name="Comma 2 3 2 3 3 2" xfId="5127" xr:uid="{0D04E1A4-95B6-4D24-8186-5251C2717ED0}"/>
    <cellStyle name="Comma 2 3 2 3 4" xfId="4543" xr:uid="{3CA3C3F8-D504-4F51-992A-76E8FC5D2806}"/>
    <cellStyle name="Comma 2 3 2 3 5" xfId="4939" xr:uid="{504D135F-87AE-4D86-89DA-171AD250A22A}"/>
    <cellStyle name="Comma 2 3 2 4" xfId="4735" xr:uid="{2B44B041-6AA5-46F8-A12F-B0882C0EB2D2}"/>
    <cellStyle name="Comma 2 3 2 4 2" xfId="5056" xr:uid="{B83228FD-708B-4DF0-BA31-80624EE1B7DE}"/>
    <cellStyle name="Comma 2 3 2 5" xfId="4835" xr:uid="{A38B49D8-DFA3-4819-8E0E-04BE1C70A2DF}"/>
    <cellStyle name="Comma 2 3 2 5 2" xfId="5128" xr:uid="{430803DF-5DAA-49AC-A101-9012EF1771AA}"/>
    <cellStyle name="Comma 2 3 2 6" xfId="4540" xr:uid="{54C3E7C4-4AC7-4969-87D7-2A64BC7F8A1A}"/>
    <cellStyle name="Comma 2 3 2 7" xfId="4936" xr:uid="{CA7FE07D-EC85-406C-8B8A-09433BA1BBCC}"/>
    <cellStyle name="Comma 2 3 3" xfId="331" xr:uid="{00000000-0005-0000-0000-00008F020000}"/>
    <cellStyle name="Comma 2 3 3 2" xfId="417" xr:uid="{00000000-0005-0000-0000-000090020000}"/>
    <cellStyle name="Comma 2 3 3 2 2" xfId="4740" xr:uid="{37B76E5D-785D-4884-BFDF-7F696EDA83D3}"/>
    <cellStyle name="Comma 2 3 3 2 2 2" xfId="5061" xr:uid="{99A04608-37C7-47F7-B305-DC224FAE4CE0}"/>
    <cellStyle name="Comma 2 3 3 2 3" xfId="4836" xr:uid="{3F5B5D55-7C99-475A-A849-C3D81BFD37B9}"/>
    <cellStyle name="Comma 2 3 3 2 3 2" xfId="5129" xr:uid="{4BAA348A-A166-400D-92C8-E90D88398A22}"/>
    <cellStyle name="Comma 2 3 3 2 4" xfId="4545" xr:uid="{4793A622-B8E0-4752-B52C-93D0E18E3E56}"/>
    <cellStyle name="Comma 2 3 3 2 5" xfId="4941" xr:uid="{35C7AA0D-756E-4FBA-AE56-E1615BA680E1}"/>
    <cellStyle name="Comma 2 3 3 3" xfId="4739" xr:uid="{00A7A39D-3B2E-4E31-A5AB-6D158E3E4DA5}"/>
    <cellStyle name="Comma 2 3 3 3 2" xfId="5060" xr:uid="{23B50F2B-33C9-4E2F-8A06-D8A14CCF2BFD}"/>
    <cellStyle name="Comma 2 3 3 4" xfId="4837" xr:uid="{6B2DBEA9-9F8D-4403-9D44-579E46BF5E7D}"/>
    <cellStyle name="Comma 2 3 3 4 2" xfId="5130" xr:uid="{B45477C9-5EC8-41C9-B273-B52DCD7B5190}"/>
    <cellStyle name="Comma 2 3 3 5" xfId="4544" xr:uid="{0F785A56-1FCF-42FD-9C24-5DBBA391BE22}"/>
    <cellStyle name="Comma 2 3 3 6" xfId="4940" xr:uid="{9331CB58-DCB5-4BDD-9487-8D2764F30936}"/>
    <cellStyle name="Comma 2 3 4" xfId="402" xr:uid="{00000000-0005-0000-0000-000091020000}"/>
    <cellStyle name="Comma 2 3 4 2" xfId="4741" xr:uid="{3C583971-A342-4C55-9425-FD6AC237408A}"/>
    <cellStyle name="Comma 2 3 4 2 2" xfId="5062" xr:uid="{D26925ED-EFA6-4F6D-9C31-87DC75C38635}"/>
    <cellStyle name="Comma 2 3 4 3" xfId="4838" xr:uid="{3CA8409A-FCD1-4524-9186-EA0AC5D8C9E0}"/>
    <cellStyle name="Comma 2 3 4 3 2" xfId="5131" xr:uid="{50BC89DA-67B4-406D-A07C-D137C694A947}"/>
    <cellStyle name="Comma 2 3 4 4" xfId="4546" xr:uid="{9199A367-BAA3-407E-9A64-6B09C67539A0}"/>
    <cellStyle name="Comma 2 3 4 5" xfId="4942" xr:uid="{A845D92F-ABC2-4CC3-9347-46A607DFBD2D}"/>
    <cellStyle name="Comma 2 3 5" xfId="4734" xr:uid="{0A725E11-2752-4281-A118-CED9113D0030}"/>
    <cellStyle name="Comma 2 3 5 2" xfId="5055" xr:uid="{7C5976E3-B31F-4341-92B7-080855E0B455}"/>
    <cellStyle name="Comma 2 3 6" xfId="4839" xr:uid="{E4EC2ECD-6E12-48D0-A297-0C2C764806A7}"/>
    <cellStyle name="Comma 2 3 6 2" xfId="5132" xr:uid="{F066EC4F-5F67-4DB6-8D62-8EE3A088139C}"/>
    <cellStyle name="Comma 2 3 7" xfId="4539" xr:uid="{B78C629A-9FBD-41A5-9EE2-48FE9B5B38E2}"/>
    <cellStyle name="Comma 2 3 8" xfId="4935" xr:uid="{68E63EFB-0DD5-4D5E-A4FC-4D40E1D8FE0E}"/>
    <cellStyle name="Comma 2 4" xfId="291" xr:uid="{00000000-0005-0000-0000-000092020000}"/>
    <cellStyle name="Comma 2 4 2" xfId="327" xr:uid="{00000000-0005-0000-0000-000093020000}"/>
    <cellStyle name="Comma 2 4 2 2" xfId="342" xr:uid="{00000000-0005-0000-0000-000094020000}"/>
    <cellStyle name="Comma 2 4 2 2 2" xfId="428" xr:uid="{00000000-0005-0000-0000-000095020000}"/>
    <cellStyle name="Comma 2 4 2 2 2 2" xfId="4745" xr:uid="{40E51F89-4A30-46D5-952B-1CFDE41B2CE6}"/>
    <cellStyle name="Comma 2 4 2 2 2 2 2" xfId="5066" xr:uid="{534C0DEF-6191-4B2F-829F-09D04F7C1E32}"/>
    <cellStyle name="Comma 2 4 2 2 2 3" xfId="4840" xr:uid="{C409C9C5-A842-4530-82B6-FB1DD4F8EEF5}"/>
    <cellStyle name="Comma 2 4 2 2 2 3 2" xfId="5133" xr:uid="{DD980939-D39F-4B08-871E-594A3CFC03FC}"/>
    <cellStyle name="Comma 2 4 2 2 2 4" xfId="4550" xr:uid="{F72065DF-3FF2-48CE-9D00-AE2BE6D7C6A1}"/>
    <cellStyle name="Comma 2 4 2 2 2 5" xfId="4946" xr:uid="{D513EFE8-5936-4341-9471-F6E114ED3F2A}"/>
    <cellStyle name="Comma 2 4 2 2 3" xfId="4744" xr:uid="{31FBB285-2F77-49F8-B43A-79740BDACEB2}"/>
    <cellStyle name="Comma 2 4 2 2 3 2" xfId="5065" xr:uid="{26F677EC-7D9B-44C7-9963-E4C594FFE6C6}"/>
    <cellStyle name="Comma 2 4 2 2 4" xfId="4841" xr:uid="{F030B724-D6A5-40A7-8DB6-757EB80E3260}"/>
    <cellStyle name="Comma 2 4 2 2 4 2" xfId="5134" xr:uid="{FCF37F56-37F6-463A-8BC6-87A9AE4ACFEC}"/>
    <cellStyle name="Comma 2 4 2 2 5" xfId="4549" xr:uid="{791BE356-8ED6-48EB-8F15-A6931AF292B1}"/>
    <cellStyle name="Comma 2 4 2 2 6" xfId="4945" xr:uid="{04AC7D01-397E-4629-B036-3A16FD568AD8}"/>
    <cellStyle name="Comma 2 4 2 3" xfId="413" xr:uid="{00000000-0005-0000-0000-000096020000}"/>
    <cellStyle name="Comma 2 4 2 3 2" xfId="4746" xr:uid="{74021F95-D1C1-4E88-8639-01E86808D37E}"/>
    <cellStyle name="Comma 2 4 2 3 2 2" xfId="5067" xr:uid="{56C9E753-A56A-4C74-BF6E-2C66FBA16472}"/>
    <cellStyle name="Comma 2 4 2 3 3" xfId="4842" xr:uid="{2AF0B72F-FBBF-4292-8184-94ADF54B73FD}"/>
    <cellStyle name="Comma 2 4 2 3 3 2" xfId="5135" xr:uid="{47A4E51E-00DE-423F-8496-009F85B63D7C}"/>
    <cellStyle name="Comma 2 4 2 3 4" xfId="4551" xr:uid="{9B0D62C1-FFA9-4881-8E6F-788297155113}"/>
    <cellStyle name="Comma 2 4 2 3 5" xfId="4947" xr:uid="{E8069FE2-A027-4E2E-AD25-FF01BFB96BCC}"/>
    <cellStyle name="Comma 2 4 2 4" xfId="4743" xr:uid="{9AB02BB2-5554-4210-9A10-F0DEC52D7EF4}"/>
    <cellStyle name="Comma 2 4 2 4 2" xfId="5064" xr:uid="{D9816C6B-C3D1-4D26-A086-810C9C221831}"/>
    <cellStyle name="Comma 2 4 2 5" xfId="4843" xr:uid="{B741E40B-55B4-4A18-B542-1CC09C4BBE57}"/>
    <cellStyle name="Comma 2 4 2 5 2" xfId="5136" xr:uid="{E4EDBB3D-6C09-46E2-BC0A-BF4BD9EEA8BD}"/>
    <cellStyle name="Comma 2 4 2 6" xfId="4548" xr:uid="{2215812B-BB43-4700-BA80-F9ED408F95EF}"/>
    <cellStyle name="Comma 2 4 2 7" xfId="4944" xr:uid="{36867516-06A7-4196-AB9B-22EDD87CB2BC}"/>
    <cellStyle name="Comma 2 4 3" xfId="334" xr:uid="{00000000-0005-0000-0000-000097020000}"/>
    <cellStyle name="Comma 2 4 3 2" xfId="420" xr:uid="{00000000-0005-0000-0000-000098020000}"/>
    <cellStyle name="Comma 2 4 3 2 2" xfId="4748" xr:uid="{FF441C10-795C-4DD9-856A-4D41871A5DBA}"/>
    <cellStyle name="Comma 2 4 3 2 2 2" xfId="5069" xr:uid="{67503100-50BE-4092-8EE5-D3259CA36EAC}"/>
    <cellStyle name="Comma 2 4 3 2 3" xfId="4844" xr:uid="{AE5CBF2D-28C5-40E5-B51F-07F7303F0CF7}"/>
    <cellStyle name="Comma 2 4 3 2 3 2" xfId="5137" xr:uid="{56565094-5944-45CA-A242-2CF9CFCAB699}"/>
    <cellStyle name="Comma 2 4 3 2 4" xfId="4553" xr:uid="{41EFE918-1A88-4D12-9688-B8334F1F33A7}"/>
    <cellStyle name="Comma 2 4 3 2 5" xfId="4949" xr:uid="{F1F1F985-39B6-433E-86C9-8EEB0C0D5377}"/>
    <cellStyle name="Comma 2 4 3 3" xfId="4747" xr:uid="{AFBC98D0-3BDB-4F69-A519-65D352E58ABF}"/>
    <cellStyle name="Comma 2 4 3 3 2" xfId="5068" xr:uid="{05C6BD0F-BB8F-4E0C-8E35-C9F048AAE4D2}"/>
    <cellStyle name="Comma 2 4 3 4" xfId="4845" xr:uid="{F6848674-454A-40E1-B4F1-464C647FB8F6}"/>
    <cellStyle name="Comma 2 4 3 4 2" xfId="5138" xr:uid="{A8FE030B-451B-4F4A-94C0-3F03AE8E9AAD}"/>
    <cellStyle name="Comma 2 4 3 5" xfId="4552" xr:uid="{622B9BD2-0FD6-493A-8CCD-C137FCE7AA1C}"/>
    <cellStyle name="Comma 2 4 3 6" xfId="4948" xr:uid="{FA2F54C7-0CF2-4645-BE06-0D0AC81AC5D0}"/>
    <cellStyle name="Comma 2 4 4" xfId="405" xr:uid="{00000000-0005-0000-0000-000099020000}"/>
    <cellStyle name="Comma 2 4 4 2" xfId="4749" xr:uid="{E50F879A-64DC-4537-B684-99A0A5C60D14}"/>
    <cellStyle name="Comma 2 4 4 2 2" xfId="5070" xr:uid="{86F718F9-644D-4C2B-BD02-2A80A4E3E9D3}"/>
    <cellStyle name="Comma 2 4 4 3" xfId="4846" xr:uid="{18DB0C55-8BD6-480A-A9C5-6564054DB644}"/>
    <cellStyle name="Comma 2 4 4 3 2" xfId="5139" xr:uid="{C22D63A3-CCD2-411E-A223-EE2E7FA64E65}"/>
    <cellStyle name="Comma 2 4 4 4" xfId="4554" xr:uid="{C64693F9-0DE3-4186-89DB-CC6D7E460801}"/>
    <cellStyle name="Comma 2 4 4 5" xfId="4950" xr:uid="{B6F657F9-D488-4D32-AD12-CF42EE9D1142}"/>
    <cellStyle name="Comma 2 4 5" xfId="4742" xr:uid="{30B74C72-F703-4FAF-B2B0-A24516EF83A3}"/>
    <cellStyle name="Comma 2 4 5 2" xfId="5063" xr:uid="{EA831C35-7985-444E-B34F-BE559F7FACE9}"/>
    <cellStyle name="Comma 2 4 6" xfId="4847" xr:uid="{28B2B8E0-48AF-43A1-95B2-A49F53A38179}"/>
    <cellStyle name="Comma 2 4 6 2" xfId="5140" xr:uid="{F0DCC3E1-84A3-4B6A-93A8-9CA77379E5E8}"/>
    <cellStyle name="Comma 2 4 7" xfId="4547" xr:uid="{4E37BF6A-8BE3-4206-A788-DE2FCA8EA9F7}"/>
    <cellStyle name="Comma 2 4 8" xfId="4943" xr:uid="{D8849AC2-B7F1-44CE-B95D-3525984A6797}"/>
    <cellStyle name="Comma 2_IFRS MARZ-JUN-DIC DTT ( definitivo)" xfId="138" xr:uid="{00000000-0005-0000-0000-00009A020000}"/>
    <cellStyle name="Comma 20" xfId="139" xr:uid="{00000000-0005-0000-0000-00009B020000}"/>
    <cellStyle name="Comma 21" xfId="140" xr:uid="{00000000-0005-0000-0000-00009C020000}"/>
    <cellStyle name="Comma 22" xfId="141" xr:uid="{00000000-0005-0000-0000-00009D020000}"/>
    <cellStyle name="Comma 22 2" xfId="324" xr:uid="{00000000-0005-0000-0000-00009E020000}"/>
    <cellStyle name="Comma 22 2 2" xfId="339" xr:uid="{00000000-0005-0000-0000-00009F020000}"/>
    <cellStyle name="Comma 22 2 2 2" xfId="425" xr:uid="{00000000-0005-0000-0000-0000A0020000}"/>
    <cellStyle name="Comma 22 2 2 2 2" xfId="4753" xr:uid="{53085904-3163-4A44-8F94-4F1EADCE6D9E}"/>
    <cellStyle name="Comma 22 2 2 2 2 2" xfId="5074" xr:uid="{B0C931DE-A273-470C-BE58-9A3CEDC93566}"/>
    <cellStyle name="Comma 22 2 2 2 3" xfId="4848" xr:uid="{60D443DE-4E62-441E-9597-912E43CBF8C8}"/>
    <cellStyle name="Comma 22 2 2 2 3 2" xfId="5141" xr:uid="{BC8928E4-07C1-4550-A9B2-EFFA9712F5CE}"/>
    <cellStyle name="Comma 22 2 2 2 4" xfId="4558" xr:uid="{3D4C68D8-7D14-4AD9-8E4A-01E3CBD33D8C}"/>
    <cellStyle name="Comma 22 2 2 2 5" xfId="4954" xr:uid="{4EC22846-68B8-48CB-93FD-A4F12B374612}"/>
    <cellStyle name="Comma 22 2 2 3" xfId="4752" xr:uid="{92D39273-99CE-4089-9223-076B693EDDC2}"/>
    <cellStyle name="Comma 22 2 2 3 2" xfId="5073" xr:uid="{5D5EB5DC-9F1B-4641-A65C-47594439A8B2}"/>
    <cellStyle name="Comma 22 2 2 4" xfId="4849" xr:uid="{7DC325BF-2A4A-41D4-89F4-6FAAB58B5E5E}"/>
    <cellStyle name="Comma 22 2 2 4 2" xfId="5142" xr:uid="{E04165CF-123F-473B-AAF9-5FA85B812E66}"/>
    <cellStyle name="Comma 22 2 2 5" xfId="4557" xr:uid="{F172BCCE-C3AD-4F56-A9DC-2626D5E71F5A}"/>
    <cellStyle name="Comma 22 2 2 6" xfId="4953" xr:uid="{AB42174B-EB9A-4C5A-B255-FC7D781D2EC3}"/>
    <cellStyle name="Comma 22 2 3" xfId="410" xr:uid="{00000000-0005-0000-0000-0000A1020000}"/>
    <cellStyle name="Comma 22 2 3 2" xfId="4754" xr:uid="{294FAB82-3406-4CDD-99F1-06863C673F37}"/>
    <cellStyle name="Comma 22 2 3 2 2" xfId="5075" xr:uid="{4FF85918-FAF4-455F-A49E-FD41011C8582}"/>
    <cellStyle name="Comma 22 2 3 3" xfId="4850" xr:uid="{EB59E7E0-4E03-4A0C-B1F9-0AA3E106FA32}"/>
    <cellStyle name="Comma 22 2 3 3 2" xfId="5143" xr:uid="{FB2AC662-857D-4404-9D69-64FF17300056}"/>
    <cellStyle name="Comma 22 2 3 4" xfId="4559" xr:uid="{4C0B0809-F5AA-4759-9337-70180911B2A0}"/>
    <cellStyle name="Comma 22 2 3 5" xfId="4955" xr:uid="{F3D89451-2597-41EF-9FFA-C95CFE195C9C}"/>
    <cellStyle name="Comma 22 2 4" xfId="4751" xr:uid="{6EC329CF-5247-437A-8207-7B1686B7C8EC}"/>
    <cellStyle name="Comma 22 2 4 2" xfId="5072" xr:uid="{84A60B99-A1F9-4B6B-930B-0971957300C5}"/>
    <cellStyle name="Comma 22 2 5" xfId="4851" xr:uid="{5E04F103-BACE-407D-9017-187DDA972920}"/>
    <cellStyle name="Comma 22 2 5 2" xfId="5144" xr:uid="{E55C41BE-00A5-4C43-B0FD-165A4C33325B}"/>
    <cellStyle name="Comma 22 2 6" xfId="4556" xr:uid="{79E6AD19-DBC1-40CE-A8D5-866B7F0636BD}"/>
    <cellStyle name="Comma 22 2 7" xfId="4952" xr:uid="{5AC91544-DC5B-4A8B-A04E-12D8331A5BE9}"/>
    <cellStyle name="Comma 22 3" xfId="332" xr:uid="{00000000-0005-0000-0000-0000A2020000}"/>
    <cellStyle name="Comma 22 3 2" xfId="418" xr:uid="{00000000-0005-0000-0000-0000A3020000}"/>
    <cellStyle name="Comma 22 3 2 2" xfId="4756" xr:uid="{1FE9FEAE-3C26-4D81-9687-A35BDC328EB4}"/>
    <cellStyle name="Comma 22 3 2 2 2" xfId="5077" xr:uid="{6A2CA335-BEDA-4621-BC75-7EA4B87EEB84}"/>
    <cellStyle name="Comma 22 3 2 3" xfId="4852" xr:uid="{4BE4BB90-2B2E-4FE9-A070-862A405ECE7C}"/>
    <cellStyle name="Comma 22 3 2 3 2" xfId="5145" xr:uid="{E29EDDDD-A7F8-438F-AB5E-F3E6DA0D12AA}"/>
    <cellStyle name="Comma 22 3 2 4" xfId="4561" xr:uid="{0E60F93D-9AB1-4878-8ED0-2F9235CF9277}"/>
    <cellStyle name="Comma 22 3 2 5" xfId="4957" xr:uid="{519B4203-7F7B-48AB-934B-FA5E3C85CB5F}"/>
    <cellStyle name="Comma 22 3 3" xfId="4755" xr:uid="{631BBC13-1389-4709-BD8F-77ED2101694A}"/>
    <cellStyle name="Comma 22 3 3 2" xfId="5076" xr:uid="{B51C39B7-6B20-4F9D-A7B1-83A00A9F3561}"/>
    <cellStyle name="Comma 22 3 4" xfId="4853" xr:uid="{333989A4-29BB-4E2B-8C42-5737CE2FC45E}"/>
    <cellStyle name="Comma 22 3 4 2" xfId="5146" xr:uid="{F3FB0807-91DB-4837-A23D-B6890B2EFE5A}"/>
    <cellStyle name="Comma 22 3 5" xfId="4560" xr:uid="{43C3262F-852C-4742-9871-93C3DFA482B8}"/>
    <cellStyle name="Comma 22 3 6" xfId="4956" xr:uid="{8BDB0F4B-8B40-4173-ACA1-6F125E48BFAD}"/>
    <cellStyle name="Comma 22 4" xfId="403" xr:uid="{00000000-0005-0000-0000-0000A4020000}"/>
    <cellStyle name="Comma 22 4 2" xfId="4757" xr:uid="{F5BEEE48-D9DA-46F5-B7FD-5B4820DB849F}"/>
    <cellStyle name="Comma 22 4 2 2" xfId="5078" xr:uid="{A35383B8-8D38-4E44-A90E-B1261D2C6365}"/>
    <cellStyle name="Comma 22 4 3" xfId="4854" xr:uid="{690C5D3E-988B-426C-A94A-5B9B9346E5F3}"/>
    <cellStyle name="Comma 22 4 3 2" xfId="5147" xr:uid="{2F4FD244-139D-4B6B-B7AE-B5B3EA5665DD}"/>
    <cellStyle name="Comma 22 4 4" xfId="4562" xr:uid="{9AD998F9-EDB0-4881-86C6-7F8AE5C49F02}"/>
    <cellStyle name="Comma 22 4 5" xfId="4958" xr:uid="{B36D79BB-580D-42B5-86A4-B026E1131E5D}"/>
    <cellStyle name="Comma 22 5" xfId="4750" xr:uid="{F0D3D6B4-3548-4919-AD7D-52CCE29168B3}"/>
    <cellStyle name="Comma 22 5 2" xfId="5071" xr:uid="{2BEB947E-23E5-414A-87C3-A67B07BB9459}"/>
    <cellStyle name="Comma 22 6" xfId="4855" xr:uid="{EBE9ECCD-61AF-4DB0-B5EB-3111018DD621}"/>
    <cellStyle name="Comma 22 6 2" xfId="5148" xr:uid="{5B879C30-48D2-4D61-A683-2F2C43BF25DA}"/>
    <cellStyle name="Comma 22 7" xfId="4555" xr:uid="{B5FB12DB-40D7-43F6-B675-77DA0AB0FE5B}"/>
    <cellStyle name="Comma 22 8" xfId="4951" xr:uid="{D51C34BE-D419-435C-8750-6B3395CFD4AF}"/>
    <cellStyle name="Comma 3" xfId="142" xr:uid="{00000000-0005-0000-0000-0000A5020000}"/>
    <cellStyle name="Comma 4" xfId="143" xr:uid="{00000000-0005-0000-0000-0000A6020000}"/>
    <cellStyle name="Comma 5" xfId="144" xr:uid="{00000000-0005-0000-0000-0000A7020000}"/>
    <cellStyle name="Comma 6" xfId="145" xr:uid="{00000000-0005-0000-0000-0000A8020000}"/>
    <cellStyle name="Comma 7" xfId="146" xr:uid="{00000000-0005-0000-0000-0000A9020000}"/>
    <cellStyle name="Comma 8" xfId="147" xr:uid="{00000000-0005-0000-0000-0000AA020000}"/>
    <cellStyle name="Comma 9" xfId="148" xr:uid="{00000000-0005-0000-0000-0000AB020000}"/>
    <cellStyle name="Comma0" xfId="149" xr:uid="{00000000-0005-0000-0000-0000AC020000}"/>
    <cellStyle name="Company Name" xfId="150" xr:uid="{00000000-0005-0000-0000-0000AD020000}"/>
    <cellStyle name="CR Comma" xfId="151" xr:uid="{00000000-0005-0000-0000-0000AE020000}"/>
    <cellStyle name="CR Currency" xfId="152" xr:uid="{00000000-0005-0000-0000-0000AF020000}"/>
    <cellStyle name="Credit" xfId="153" xr:uid="{00000000-0005-0000-0000-0000B0020000}"/>
    <cellStyle name="Credit subtotal" xfId="154" xr:uid="{00000000-0005-0000-0000-0000B1020000}"/>
    <cellStyle name="Credit subtotal 2" xfId="773" xr:uid="{00000000-0005-0000-0000-0000B2020000}"/>
    <cellStyle name="Credit subtotal 2 2" xfId="4759" xr:uid="{064A9CFD-CC9C-4C3D-84FA-E2834BB5AD58}"/>
    <cellStyle name="Credit subtotal 2 3" xfId="4787" xr:uid="{07D9E9F0-922D-4BFA-BFD4-D72D89D835D4}"/>
    <cellStyle name="Credit subtotal 2 4" xfId="4856" xr:uid="{8A6696DE-B415-4086-901F-708CA785FD04}"/>
    <cellStyle name="Credit subtotal 3" xfId="4758" xr:uid="{35F9E995-2E0C-4100-95C7-F41A875B27E2}"/>
    <cellStyle name="Credit subtotal 4" xfId="4788" xr:uid="{9CFDD351-D163-4A73-9202-2CBF7111C33B}"/>
    <cellStyle name="Credit subtotal 5" xfId="4857" xr:uid="{51FCD85E-45F7-4AD6-84D2-7CCD28ACB8AA}"/>
    <cellStyle name="Credit Total" xfId="155" xr:uid="{00000000-0005-0000-0000-0000B3020000}"/>
    <cellStyle name="Currency %" xfId="156" xr:uid="{00000000-0005-0000-0000-0000B4020000}"/>
    <cellStyle name="Currency [0] 2" xfId="4608" xr:uid="{95179A56-AA66-44E1-A7C6-FEDB701658FA}"/>
    <cellStyle name="Currency [0] 3" xfId="4986" xr:uid="{D889C331-627E-4465-BB6D-A75670C8AA32}"/>
    <cellStyle name="Currency 0.0" xfId="157" xr:uid="{00000000-0005-0000-0000-0000B5020000}"/>
    <cellStyle name="Currency 0.0%" xfId="158" xr:uid="{00000000-0005-0000-0000-0000B6020000}"/>
    <cellStyle name="Currency 0.0_Caso 10" xfId="159" xr:uid="{00000000-0005-0000-0000-0000B7020000}"/>
    <cellStyle name="Currency 0.00" xfId="160" xr:uid="{00000000-0005-0000-0000-0000B8020000}"/>
    <cellStyle name="Currency 0.00%" xfId="161" xr:uid="{00000000-0005-0000-0000-0000B9020000}"/>
    <cellStyle name="Currency 0.00_Caso 10" xfId="162" xr:uid="{00000000-0005-0000-0000-0000BA020000}"/>
    <cellStyle name="Currency 0.000" xfId="163" xr:uid="{00000000-0005-0000-0000-0000BB020000}"/>
    <cellStyle name="Currency 0.000%" xfId="164" xr:uid="{00000000-0005-0000-0000-0000BC020000}"/>
    <cellStyle name="Currency 0.000_Caso 10" xfId="165" xr:uid="{00000000-0005-0000-0000-0000BD020000}"/>
    <cellStyle name="Currency0" xfId="166" xr:uid="{00000000-0005-0000-0000-0000BE020000}"/>
    <cellStyle name="Date" xfId="167" xr:uid="{00000000-0005-0000-0000-0000BF020000}"/>
    <cellStyle name="Debit" xfId="168" xr:uid="{00000000-0005-0000-0000-0000C0020000}"/>
    <cellStyle name="Debit subtotal" xfId="169" xr:uid="{00000000-0005-0000-0000-0000C1020000}"/>
    <cellStyle name="Debit subtotal 2" xfId="774" xr:uid="{00000000-0005-0000-0000-0000C2020000}"/>
    <cellStyle name="Debit subtotal 2 2" xfId="4761" xr:uid="{15795FA0-2DB6-4D35-9515-8C1BCC639AB3}"/>
    <cellStyle name="Debit subtotal 2 3" xfId="4785" xr:uid="{416D0D56-FF00-44FF-917C-C32610830614}"/>
    <cellStyle name="Debit subtotal 2 4" xfId="4858" xr:uid="{16E9DE5A-9455-42D7-A764-CAD9126C2D40}"/>
    <cellStyle name="Debit subtotal 3" xfId="4760" xr:uid="{A9E4FF4B-8A9A-431E-9529-402D0A911EA9}"/>
    <cellStyle name="Debit subtotal 4" xfId="4786" xr:uid="{78E02DF8-E439-4F37-8E6E-C3ACD0C0D8C2}"/>
    <cellStyle name="Debit subtotal 5" xfId="4859" xr:uid="{0529359A-F2AF-4252-A06F-0D06306BF2E2}"/>
    <cellStyle name="Debit Total" xfId="170" xr:uid="{00000000-0005-0000-0000-0000C3020000}"/>
    <cellStyle name="Dezimal [0]_FBA-6" xfId="171" xr:uid="{00000000-0005-0000-0000-0000C4020000}"/>
    <cellStyle name="Dezimal_FBA-6" xfId="172" xr:uid="{00000000-0005-0000-0000-0000C5020000}"/>
    <cellStyle name="Dia" xfId="173" xr:uid="{00000000-0005-0000-0000-0000C6020000}"/>
    <cellStyle name="Encabez1" xfId="174" xr:uid="{00000000-0005-0000-0000-0000C7020000}"/>
    <cellStyle name="Encabez2" xfId="175" xr:uid="{00000000-0005-0000-0000-0000C8020000}"/>
    <cellStyle name="Encabezado 1" xfId="4356" builtinId="16" customBuiltin="1"/>
    <cellStyle name="Encabezado 1 2" xfId="344" xr:uid="{00000000-0005-0000-0000-0000C9020000}"/>
    <cellStyle name="Encabezado 1 3" xfId="56" xr:uid="{00000000-0005-0000-0000-0000CA020000}"/>
    <cellStyle name="Encabezado 2" xfId="176" xr:uid="{00000000-0005-0000-0000-0000CB020000}"/>
    <cellStyle name="Encabezado 4" xfId="25" builtinId="19" customBuiltin="1"/>
    <cellStyle name="Énfasis1" xfId="37" builtinId="29" customBuiltin="1"/>
    <cellStyle name="Énfasis2" xfId="40" builtinId="33" customBuiltin="1"/>
    <cellStyle name="Énfasis3" xfId="43" builtinId="37" customBuiltin="1"/>
    <cellStyle name="Énfasis4" xfId="46" builtinId="41" customBuiltin="1"/>
    <cellStyle name="Énfasis5" xfId="49" builtinId="45" customBuiltin="1"/>
    <cellStyle name="Énfasis6" xfId="52" builtinId="49" customBuiltin="1"/>
    <cellStyle name="Entrada" xfId="28" builtinId="20" customBuiltin="1"/>
    <cellStyle name="Euro" xfId="10" xr:uid="{00000000-0005-0000-0000-0000D4020000}"/>
    <cellStyle name="Euro 2" xfId="177" xr:uid="{00000000-0005-0000-0000-0000D5020000}"/>
    <cellStyle name="Explanatory Text 2" xfId="178" xr:uid="{00000000-0005-0000-0000-0000D6020000}"/>
    <cellStyle name="F2" xfId="179" xr:uid="{00000000-0005-0000-0000-0000D8020000}"/>
    <cellStyle name="F3" xfId="180" xr:uid="{00000000-0005-0000-0000-0000D9020000}"/>
    <cellStyle name="F4" xfId="181" xr:uid="{00000000-0005-0000-0000-0000DA020000}"/>
    <cellStyle name="F5" xfId="182" xr:uid="{00000000-0005-0000-0000-0000DB020000}"/>
    <cellStyle name="F6" xfId="183" xr:uid="{00000000-0005-0000-0000-0000DC020000}"/>
    <cellStyle name="F7" xfId="184" xr:uid="{00000000-0005-0000-0000-0000DD020000}"/>
    <cellStyle name="F8" xfId="185" xr:uid="{00000000-0005-0000-0000-0000DE020000}"/>
    <cellStyle name="Fecha" xfId="186" xr:uid="{00000000-0005-0000-0000-0000DF020000}"/>
    <cellStyle name="Fijo" xfId="187" xr:uid="{00000000-0005-0000-0000-0000E0020000}"/>
    <cellStyle name="Financiero" xfId="188" xr:uid="{00000000-0005-0000-0000-0000E1020000}"/>
    <cellStyle name="Fixed" xfId="189" xr:uid="{00000000-0005-0000-0000-0000E2020000}"/>
    <cellStyle name="Good 2" xfId="190" xr:uid="{00000000-0005-0000-0000-0000E3020000}"/>
    <cellStyle name="Grey" xfId="191" xr:uid="{00000000-0005-0000-0000-0000E5020000}"/>
    <cellStyle name="group" xfId="192" xr:uid="{00000000-0005-0000-0000-0000E6020000}"/>
    <cellStyle name="Header1" xfId="193" xr:uid="{00000000-0005-0000-0000-0000E7020000}"/>
    <cellStyle name="Header1 2" xfId="4762" xr:uid="{61C709A0-BDBA-4775-BE6B-73097AA71B47}"/>
    <cellStyle name="Header1 2 2" xfId="4896" xr:uid="{F83E7BE7-9423-4F0F-B28E-53123B38989A}"/>
    <cellStyle name="Header1 2 3" xfId="5181" xr:uid="{7127AA19-3991-4E6D-8D59-B0186EE95B4B}"/>
    <cellStyle name="Header1 2 4" xfId="4911" xr:uid="{CA9D7BC2-AA57-4ECA-83A5-900CB6BB4762}"/>
    <cellStyle name="Header1 2 5" xfId="4983" xr:uid="{D90DBEF7-4B29-4549-BA1F-D48A309E1D98}"/>
    <cellStyle name="Header1 3" xfId="4860" xr:uid="{1B406D08-97E6-4DD1-BFC3-F4B1F4976AE0}"/>
    <cellStyle name="Header1 3 2" xfId="4898" xr:uid="{D1C3C8DD-2E3F-4C6B-B204-3354691E67D0}"/>
    <cellStyle name="Header1 3 3" xfId="5183" xr:uid="{AE973EF4-009B-4095-A517-A1FA22F1D6B0}"/>
    <cellStyle name="Header1 3 4" xfId="4909" xr:uid="{336CA3EE-EB6A-4493-AFBB-9154FCF0B7CE}"/>
    <cellStyle name="Header1 3 5" xfId="5029" xr:uid="{BA7DBCC3-4E68-421C-B8FD-E1BB94EAF9DB}"/>
    <cellStyle name="Header1 4" xfId="4563" xr:uid="{25ACC1D6-C331-4DC4-90DC-02C07AAD4393}"/>
    <cellStyle name="Header1 5" xfId="4959" xr:uid="{5BA2C185-69E1-4553-9818-A39362871A27}"/>
    <cellStyle name="Header1 6" xfId="4964" xr:uid="{82F45838-2716-4F3B-8B24-3160822B602B}"/>
    <cellStyle name="Header1 7" xfId="4966" xr:uid="{872808A5-7660-41F0-B9DA-E9EE5F7B2970}"/>
    <cellStyle name="Header1 8" xfId="4980" xr:uid="{5FB30A8E-0890-412C-8F6D-00BFED89ED17}"/>
    <cellStyle name="Header2" xfId="194" xr:uid="{00000000-0005-0000-0000-0000E8020000}"/>
    <cellStyle name="Header2 2" xfId="4763" xr:uid="{77967189-1474-44AA-8691-116A7654033B}"/>
    <cellStyle name="Header2 3" xfId="4784" xr:uid="{05D41952-04DD-4015-BCF1-8FA6367CA621}"/>
    <cellStyle name="Header2 4" xfId="4861" xr:uid="{6BDD8535-D0D1-4268-A98F-FEA466E88AB1}"/>
    <cellStyle name="Heading" xfId="195" xr:uid="{00000000-0005-0000-0000-0000E9020000}"/>
    <cellStyle name="Heading 1 2" xfId="196" xr:uid="{00000000-0005-0000-0000-0000EA020000}"/>
    <cellStyle name="Heading 10" xfId="4981" xr:uid="{4B6FC574-F5C7-45CE-8E40-E20639FECB1D}"/>
    <cellStyle name="Heading 2 2" xfId="197" xr:uid="{00000000-0005-0000-0000-0000EC020000}"/>
    <cellStyle name="Heading 2 3" xfId="4364" xr:uid="{E1F9E252-8E64-4EB3-9D69-1922AF23C473}"/>
    <cellStyle name="Heading 3 2" xfId="198" xr:uid="{00000000-0005-0000-0000-0000EE020000}"/>
    <cellStyle name="Heading 3 2 2" xfId="4764" xr:uid="{708B6825-335B-4496-9C61-0CDD6CD8B75D}"/>
    <cellStyle name="Heading 3 2 2 2" xfId="5079" xr:uid="{18970BAA-477D-4E21-8F27-6DC72094C90B}"/>
    <cellStyle name="Heading 3 2 3" xfId="4862" xr:uid="{3B6A6F36-2C23-480A-A790-A3AC10418F2F}"/>
    <cellStyle name="Heading 3 2 3 2" xfId="5149" xr:uid="{C0063E41-14F2-4FEE-8F1A-EDBA59C50364}"/>
    <cellStyle name="Heading 3 2 4" xfId="4565" xr:uid="{7404085E-18FA-43CC-B877-C5B96D74BB6A}"/>
    <cellStyle name="Heading 3 2 5" xfId="4961" xr:uid="{C6B4889A-CC44-4E50-B65F-8A0561AEE6E4}"/>
    <cellStyle name="Heading 3 3" xfId="4365" xr:uid="{A37D32A9-E846-4625-B031-37BF109BA832}"/>
    <cellStyle name="Heading 4 2" xfId="199" xr:uid="{00000000-0005-0000-0000-0000F0020000}"/>
    <cellStyle name="Heading 5" xfId="4564" xr:uid="{6357661A-2B19-4CE2-82C9-5E897B2BCDBC}"/>
    <cellStyle name="Heading 6" xfId="4595" xr:uid="{A691A9A3-B69D-4FC6-9362-BE25B1DC0764}"/>
    <cellStyle name="Heading 7" xfId="4960" xr:uid="{F3284F15-9F0C-4F21-A8A2-B9913CB73301}"/>
    <cellStyle name="Heading 8" xfId="4982" xr:uid="{E16C5192-4CD6-4058-BC23-9FC8BF2BA634}"/>
    <cellStyle name="Heading 9" xfId="4965" xr:uid="{3D741EE1-ED67-479F-8A2D-3B23D04B3DF3}"/>
    <cellStyle name="Heading No Underline" xfId="200" xr:uid="{00000000-0005-0000-0000-0000F2020000}"/>
    <cellStyle name="Heading With Underline" xfId="201" xr:uid="{00000000-0005-0000-0000-0000F3020000}"/>
    <cellStyle name="Heading1" xfId="202" xr:uid="{00000000-0005-0000-0000-0000F4020000}"/>
    <cellStyle name="Heading2" xfId="203" xr:uid="{00000000-0005-0000-0000-0000F5020000}"/>
    <cellStyle name="Incorrecto" xfId="27" builtinId="27" customBuiltin="1"/>
    <cellStyle name="Input [yellow]" xfId="204" xr:uid="{00000000-0005-0000-0000-0000F7020000}"/>
    <cellStyle name="Input 2" xfId="205" xr:uid="{00000000-0005-0000-0000-0000F8020000}"/>
    <cellStyle name="Input 2 2" xfId="775" xr:uid="{00000000-0005-0000-0000-0000F9020000}"/>
    <cellStyle name="Input 2 2 2" xfId="4766" xr:uid="{48571F1B-98F1-4978-B918-7DC7E55B5951}"/>
    <cellStyle name="Input 2 2 3" xfId="4782" xr:uid="{F83BC68A-5201-4EC2-9E8D-D98DAC53CDFA}"/>
    <cellStyle name="Input 2 2 4" xfId="4863" xr:uid="{733291B1-F277-40BB-B999-6FA92BD7BCA5}"/>
    <cellStyle name="Input 2 3" xfId="4765" xr:uid="{76707B06-86DC-4F0A-A34A-164CDBBCB636}"/>
    <cellStyle name="Input 2 4" xfId="4783" xr:uid="{D52F8F9B-7020-4271-93D4-343870CE972B}"/>
    <cellStyle name="Input 2 5" xfId="4864" xr:uid="{4DBD39B8-9874-4AA6-B219-CA3C0108D822}"/>
    <cellStyle name="invisible" xfId="206" xr:uid="{00000000-0005-0000-0000-0000FB020000}"/>
    <cellStyle name="Linked Cell 2" xfId="207" xr:uid="{00000000-0005-0000-0000-0000FC020000}"/>
    <cellStyle name="longtext" xfId="208" xr:uid="{00000000-0005-0000-0000-0000FE020000}"/>
    <cellStyle name="ltext" xfId="209" xr:uid="{00000000-0005-0000-0000-0000FF020000}"/>
    <cellStyle name="MainHead" xfId="210" xr:uid="{00000000-0005-0000-0000-000000030000}"/>
    <cellStyle name="miles" xfId="211" xr:uid="{00000000-0005-0000-0000-000001030000}"/>
    <cellStyle name="Millares" xfId="8" builtinId="3"/>
    <cellStyle name="millares (0)" xfId="212" xr:uid="{00000000-0005-0000-0000-000003030000}"/>
    <cellStyle name="Millares [0]" xfId="1" builtinId="6"/>
    <cellStyle name="Millares [0] 10" xfId="4612" xr:uid="{BEE31E88-256F-469C-9241-AC2DD988AE59}"/>
    <cellStyle name="Millares [0] 10 2" xfId="4801" xr:uid="{57C4F718-568C-4E76-A28D-B6009034AA44}"/>
    <cellStyle name="Millares [0] 10 2 2" xfId="5100" xr:uid="{62DEC92A-6BB9-4D55-9EA1-191622CB8E53}"/>
    <cellStyle name="Millares [0] 10 3" xfId="4865" xr:uid="{0B965123-C985-4024-B086-D7F902BA127F}"/>
    <cellStyle name="Millares [0] 10 3 2" xfId="5150" xr:uid="{D97B9732-D892-4D14-88FC-BED1C4DDDB50}"/>
    <cellStyle name="Millares [0] 10 4" xfId="4989" xr:uid="{DD469EB7-AD6A-4360-9AD1-A687ECF607D3}"/>
    <cellStyle name="Millares [0] 11" xfId="4629" xr:uid="{7C194CFB-3087-417B-B57E-36724F490812}"/>
    <cellStyle name="Millares [0] 11 2" xfId="5005" xr:uid="{6FA4CFCC-F06B-4C1D-92E4-36182099F8EC}"/>
    <cellStyle name="Millares [0] 12" xfId="4866" xr:uid="{69961023-C28A-4F37-87D6-4CADE357C7AF}"/>
    <cellStyle name="Millares [0] 12 2" xfId="5151" xr:uid="{1C4E7694-9DAB-494C-ABEA-068C7F48AA82}"/>
    <cellStyle name="Millares [0] 2" xfId="398" xr:uid="{00000000-0005-0000-0000-000005030000}"/>
    <cellStyle name="Millares [0] 2 2" xfId="4382" xr:uid="{AB9F4969-B64F-4829-852F-AD5E59C61B91}"/>
    <cellStyle name="Millares [0] 2 2 2" xfId="4620" xr:uid="{618B99F0-18CF-42E2-A876-E78DAE1BE311}"/>
    <cellStyle name="Millares [0] 2 2 2 2" xfId="4997" xr:uid="{0584A5D3-CF12-4D3B-AFF8-C89929FC61EF}"/>
    <cellStyle name="Millares [0] 2 2 3" xfId="4867" xr:uid="{2F813C1A-2253-4CF6-97FA-F3C40D4C0BB6}"/>
    <cellStyle name="Millares [0] 2 2 3 2" xfId="5152" xr:uid="{0D5297FC-918A-48EA-84A7-CF915F613EEE}"/>
    <cellStyle name="Millares [0] 2 2 4" xfId="4901" xr:uid="{D8BFBF07-DECC-4071-B970-45C677169F1C}"/>
    <cellStyle name="Millares [0] 2 3" xfId="4566" xr:uid="{05AAC0E7-1AC5-44DE-82A6-ED35E5F48FC2}"/>
    <cellStyle name="Millares [0] 2 3 2" xfId="4767" xr:uid="{9D78847B-2B7E-4BEE-9A5E-C00BFB3EBD18}"/>
    <cellStyle name="Millares [0] 2 3 2 2" xfId="5080" xr:uid="{117F2473-BB81-4B63-B316-6692096DC747}"/>
    <cellStyle name="Millares [0] 2 3 3" xfId="4868" xr:uid="{56E80AB1-08F3-4AF8-86F1-F5B2554A5BF7}"/>
    <cellStyle name="Millares [0] 2 3 3 2" xfId="5153" xr:uid="{49F4E6E6-881C-4AAD-AE8E-0D33139139D7}"/>
    <cellStyle name="Millares [0] 2 3 4" xfId="4962" xr:uid="{2D7248AD-27B6-45EB-B7A1-FFA14CFF19D1}"/>
    <cellStyle name="Millares [0] 2 4" xfId="4613" xr:uid="{46CDB4A9-F6E0-4985-A2C0-7A03878C696E}"/>
    <cellStyle name="Millares [0] 2 4 2" xfId="4990" xr:uid="{A497D90F-1E6B-48C5-98FF-7FD103C364F7}"/>
    <cellStyle name="Millares [0] 2 5" xfId="4869" xr:uid="{8319F702-E65D-41F8-A918-D99AA1D810B5}"/>
    <cellStyle name="Millares [0] 2 5 2" xfId="5154" xr:uid="{DAF77EF2-FE12-4CBA-B1E4-BFD8E5988DF9}"/>
    <cellStyle name="Millares [0] 2 6" xfId="4366" xr:uid="{13D9215D-4095-482F-9384-CB7452212E3C}"/>
    <cellStyle name="Millares [0] 2 7" xfId="4899" xr:uid="{E83B871D-B473-4FD4-B10D-1DAE50DA2175}"/>
    <cellStyle name="Millares [0] 3" xfId="4337" xr:uid="{00000000-0005-0000-0000-000006030000}"/>
    <cellStyle name="Millares [0] 3 2" xfId="4624" xr:uid="{7F04B7A4-4296-4634-8888-8D0C48B9A8D8}"/>
    <cellStyle name="Millares [0] 3 2 2" xfId="5000" xr:uid="{F27D67B4-FBB1-4FCA-B59A-5F0DA1808897}"/>
    <cellStyle name="Millares [0] 3 3" xfId="4870" xr:uid="{03F87DB4-8A10-47C8-AFFC-2616A023FB65}"/>
    <cellStyle name="Millares [0] 3 3 2" xfId="5155" xr:uid="{E23B3B5B-B8F4-4012-87C7-689E4FE6D6BD}"/>
    <cellStyle name="Millares [0] 3 4" xfId="4387" xr:uid="{CB1420E1-121B-46B9-B9FF-432D3971055A}"/>
    <cellStyle name="Millares [0] 3 5" xfId="4902" xr:uid="{113E16B0-C7D6-4522-941D-5FEC7E8AC4A9}"/>
    <cellStyle name="Millares [0] 4" xfId="4388" xr:uid="{DEBA0051-2C26-45AF-8B01-645E440044FB}"/>
    <cellStyle name="Millares [0] 4 2" xfId="4625" xr:uid="{CBC18FF4-0A6E-4003-9573-C268BA3F19E5}"/>
    <cellStyle name="Millares [0] 4 2 2" xfId="5001" xr:uid="{7FE73A6A-867D-49DB-ACCD-0A4278BD1CE8}"/>
    <cellStyle name="Millares [0] 4 3" xfId="4871" xr:uid="{9D75A4D3-7ADE-437B-AEED-71595196445E}"/>
    <cellStyle name="Millares [0] 4 3 2" xfId="5156" xr:uid="{BA93289F-DBEE-424C-9A04-F3AC2BC90B53}"/>
    <cellStyle name="Millares [0] 4 4" xfId="4903" xr:uid="{143A2DBD-A939-4C40-B5B1-A5ED7B74496A}"/>
    <cellStyle name="Millares [0] 5" xfId="4512" xr:uid="{CF3FE442-C506-4695-93EF-CC54CAF3F13E}"/>
    <cellStyle name="Millares [0] 6" xfId="4514" xr:uid="{30C1116C-333F-49D6-9F50-22315DF52C7E}"/>
    <cellStyle name="Millares [0] 6 2" xfId="4707" xr:uid="{D1971E48-031C-4A67-884B-148B0EF60F74}"/>
    <cellStyle name="Millares [0] 6 2 2" xfId="5030" xr:uid="{5F4EC0D3-8F8D-436B-ABC3-792D76374AD0}"/>
    <cellStyle name="Millares [0] 6 3" xfId="4872" xr:uid="{6A509F9B-FC4F-4A7E-AE0B-287394EC675E}"/>
    <cellStyle name="Millares [0] 6 3 2" xfId="5157" xr:uid="{676F65DB-C7B4-4B19-A491-73A4CF633E33}"/>
    <cellStyle name="Millares [0] 6 4" xfId="4908" xr:uid="{4CF5FC85-8D92-4340-A9A2-7E21555010C9}"/>
    <cellStyle name="Millares [0] 7" xfId="4567" xr:uid="{86A81D66-15F2-417B-80D3-149672BF62D3}"/>
    <cellStyle name="Millares [0] 7 2" xfId="4768" xr:uid="{E7AD5002-F8B8-44C1-9824-99034B98245E}"/>
    <cellStyle name="Millares [0] 7 2 2" xfId="5081" xr:uid="{B8096CC0-1682-4CB0-88E7-8A2FC45F6041}"/>
    <cellStyle name="Millares [0] 7 3" xfId="4873" xr:uid="{61CF2AB2-8D77-4129-A040-EBCBB99B7F26}"/>
    <cellStyle name="Millares [0] 7 3 2" xfId="5158" xr:uid="{5794D246-444C-4995-8C79-722169320AB8}"/>
    <cellStyle name="Millares [0] 7 4" xfId="4963" xr:uid="{55346D4C-10EE-444A-AA71-379FD1B3D16E}"/>
    <cellStyle name="Millares [0] 8" xfId="4607" xr:uid="{D0719EF6-413C-4D0C-9120-6B8ED61B18BA}"/>
    <cellStyle name="Millares [0] 8 2" xfId="4797" xr:uid="{73E32FC2-F247-4711-9F78-3A3715E8FF74}"/>
    <cellStyle name="Millares [0] 8 2 2" xfId="5096" xr:uid="{8048971F-BF5C-4DCA-80B3-F171B3C96B6C}"/>
    <cellStyle name="Millares [0] 8 3" xfId="4874" xr:uid="{FF58114E-9752-4534-B1EA-9AA9C9FAE443}"/>
    <cellStyle name="Millares [0] 8 3 2" xfId="5159" xr:uid="{4CABA74D-9520-4574-9EEC-BB86AE04C500}"/>
    <cellStyle name="Millares [0] 8 4" xfId="4985" xr:uid="{9CE3ACC9-2CED-4A67-A5AB-1BF3305E6AA8}"/>
    <cellStyle name="Millares [0] 9" xfId="4610" xr:uid="{378520ED-21EE-431C-B730-53C85601D10C}"/>
    <cellStyle name="Millares [0] 9 2" xfId="4800" xr:uid="{146B7D3A-4D41-4925-9640-79B0855DE8BA}"/>
    <cellStyle name="Millares [0] 9 2 2" xfId="5099" xr:uid="{10BF6AC5-AB62-4172-8EF5-487D14231B24}"/>
    <cellStyle name="Millares [0] 9 3" xfId="4875" xr:uid="{C0E2E9F5-396C-49A5-99DB-B2AB0E8E0891}"/>
    <cellStyle name="Millares [0] 9 3 2" xfId="5160" xr:uid="{EE591840-2CB8-4FE7-8E04-4D9C2EAFCAB0}"/>
    <cellStyle name="Millares [0] 9 4" xfId="4988" xr:uid="{14A6CFA0-FE2A-4F8C-A1E1-13C45451EDC8}"/>
    <cellStyle name="Millares 10" xfId="7" xr:uid="{00000000-0005-0000-0000-000007030000}"/>
    <cellStyle name="Millares 10 10" xfId="2764" xr:uid="{00000000-0005-0000-0000-000008030000}"/>
    <cellStyle name="Millares 10 11" xfId="301" xr:uid="{00000000-0005-0000-0000-000009030000}"/>
    <cellStyle name="Millares 10 11 2" xfId="4637" xr:uid="{C6962132-6256-4B31-BF63-E1E3BED8C8CF}"/>
    <cellStyle name="Millares 10 11 3" xfId="5010" xr:uid="{180696F0-73A8-44BD-AF58-F3C2AD21B148}"/>
    <cellStyle name="Millares 10 12" xfId="4403" xr:uid="{ED80563A-0ABF-43F7-B9DF-1CDAB280D0DE}"/>
    <cellStyle name="Millares 10 2" xfId="379" xr:uid="{00000000-0005-0000-0000-00000A030000}"/>
    <cellStyle name="Millares 10 2 2" xfId="494" xr:uid="{00000000-0005-0000-0000-00000B030000}"/>
    <cellStyle name="Millares 10 2 2 2" xfId="722" xr:uid="{00000000-0005-0000-0000-00000C030000}"/>
    <cellStyle name="Millares 10 2 2 2 2" xfId="1122" xr:uid="{00000000-0005-0000-0000-00000D030000}"/>
    <cellStyle name="Millares 10 2 2 2 2 2" xfId="2705" xr:uid="{00000000-0005-0000-0000-00000E030000}"/>
    <cellStyle name="Millares 10 2 2 2 2 2 2" xfId="4287" xr:uid="{00000000-0005-0000-0000-00000F030000}"/>
    <cellStyle name="Millares 10 2 2 2 2 3" xfId="1914" xr:uid="{00000000-0005-0000-0000-000010030000}"/>
    <cellStyle name="Millares 10 2 2 2 2 4" xfId="3496" xr:uid="{00000000-0005-0000-0000-000011030000}"/>
    <cellStyle name="Millares 10 2 2 2 3" xfId="2311" xr:uid="{00000000-0005-0000-0000-000012030000}"/>
    <cellStyle name="Millares 10 2 2 2 3 2" xfId="3893" xr:uid="{00000000-0005-0000-0000-000013030000}"/>
    <cellStyle name="Millares 10 2 2 2 4" xfId="1520" xr:uid="{00000000-0005-0000-0000-000014030000}"/>
    <cellStyle name="Millares 10 2 2 2 5" xfId="3102" xr:uid="{00000000-0005-0000-0000-000015030000}"/>
    <cellStyle name="Millares 10 2 2 3" xfId="901" xr:uid="{00000000-0005-0000-0000-000016030000}"/>
    <cellStyle name="Millares 10 2 2 3 2" xfId="2484" xr:uid="{00000000-0005-0000-0000-000017030000}"/>
    <cellStyle name="Millares 10 2 2 3 2 2" xfId="4066" xr:uid="{00000000-0005-0000-0000-000018030000}"/>
    <cellStyle name="Millares 10 2 2 3 3" xfId="1693" xr:uid="{00000000-0005-0000-0000-000019030000}"/>
    <cellStyle name="Millares 10 2 2 3 4" xfId="3275" xr:uid="{00000000-0005-0000-0000-00001A030000}"/>
    <cellStyle name="Millares 10 2 2 4" xfId="2090" xr:uid="{00000000-0005-0000-0000-00001B030000}"/>
    <cellStyle name="Millares 10 2 2 4 2" xfId="3672" xr:uid="{00000000-0005-0000-0000-00001C030000}"/>
    <cellStyle name="Millares 10 2 2 5" xfId="1299" xr:uid="{00000000-0005-0000-0000-00001D030000}"/>
    <cellStyle name="Millares 10 2 2 6" xfId="2881" xr:uid="{00000000-0005-0000-0000-00001E030000}"/>
    <cellStyle name="Millares 10 2 3" xfId="571" xr:uid="{00000000-0005-0000-0000-00001F030000}"/>
    <cellStyle name="Millares 10 2 3 2" xfId="978" xr:uid="{00000000-0005-0000-0000-000020030000}"/>
    <cellStyle name="Millares 10 2 3 2 2" xfId="2561" xr:uid="{00000000-0005-0000-0000-000021030000}"/>
    <cellStyle name="Millares 10 2 3 2 2 2" xfId="4143" xr:uid="{00000000-0005-0000-0000-000022030000}"/>
    <cellStyle name="Millares 10 2 3 2 3" xfId="1770" xr:uid="{00000000-0005-0000-0000-000023030000}"/>
    <cellStyle name="Millares 10 2 3 2 4" xfId="3352" xr:uid="{00000000-0005-0000-0000-000024030000}"/>
    <cellStyle name="Millares 10 2 3 3" xfId="2167" xr:uid="{00000000-0005-0000-0000-000025030000}"/>
    <cellStyle name="Millares 10 2 3 3 2" xfId="3749" xr:uid="{00000000-0005-0000-0000-000026030000}"/>
    <cellStyle name="Millares 10 2 3 4" xfId="1376" xr:uid="{00000000-0005-0000-0000-000027030000}"/>
    <cellStyle name="Millares 10 2 3 5" xfId="2958" xr:uid="{00000000-0005-0000-0000-000028030000}"/>
    <cellStyle name="Millares 10 2 4" xfId="646" xr:uid="{00000000-0005-0000-0000-000029030000}"/>
    <cellStyle name="Millares 10 2 4 2" xfId="1046" xr:uid="{00000000-0005-0000-0000-00002A030000}"/>
    <cellStyle name="Millares 10 2 4 2 2" xfId="2629" xr:uid="{00000000-0005-0000-0000-00002B030000}"/>
    <cellStyle name="Millares 10 2 4 2 2 2" xfId="4211" xr:uid="{00000000-0005-0000-0000-00002C030000}"/>
    <cellStyle name="Millares 10 2 4 2 3" xfId="1838" xr:uid="{00000000-0005-0000-0000-00002D030000}"/>
    <cellStyle name="Millares 10 2 4 2 4" xfId="3420" xr:uid="{00000000-0005-0000-0000-00002E030000}"/>
    <cellStyle name="Millares 10 2 4 3" xfId="2235" xr:uid="{00000000-0005-0000-0000-00002F030000}"/>
    <cellStyle name="Millares 10 2 4 3 2" xfId="3817" xr:uid="{00000000-0005-0000-0000-000030030000}"/>
    <cellStyle name="Millares 10 2 4 4" xfId="1444" xr:uid="{00000000-0005-0000-0000-000031030000}"/>
    <cellStyle name="Millares 10 2 4 5" xfId="3026" xr:uid="{00000000-0005-0000-0000-000032030000}"/>
    <cellStyle name="Millares 10 2 5" xfId="825" xr:uid="{00000000-0005-0000-0000-000033030000}"/>
    <cellStyle name="Millares 10 2 5 2" xfId="2408" xr:uid="{00000000-0005-0000-0000-000034030000}"/>
    <cellStyle name="Millares 10 2 5 2 2" xfId="3990" xr:uid="{00000000-0005-0000-0000-000035030000}"/>
    <cellStyle name="Millares 10 2 5 3" xfId="1617" xr:uid="{00000000-0005-0000-0000-000036030000}"/>
    <cellStyle name="Millares 10 2 5 4" xfId="3199" xr:uid="{00000000-0005-0000-0000-000037030000}"/>
    <cellStyle name="Millares 10 2 6" xfId="2014" xr:uid="{00000000-0005-0000-0000-000038030000}"/>
    <cellStyle name="Millares 10 2 6 2" xfId="3596" xr:uid="{00000000-0005-0000-0000-000039030000}"/>
    <cellStyle name="Millares 10 2 7" xfId="1223" xr:uid="{00000000-0005-0000-0000-00003A030000}"/>
    <cellStyle name="Millares 10 2 8" xfId="2805" xr:uid="{00000000-0005-0000-0000-00003B030000}"/>
    <cellStyle name="Millares 10 3" xfId="453" xr:uid="{00000000-0005-0000-0000-00003C030000}"/>
    <cellStyle name="Millares 10 3 2" xfId="681" xr:uid="{00000000-0005-0000-0000-00003D030000}"/>
    <cellStyle name="Millares 10 3 2 2" xfId="1081" xr:uid="{00000000-0005-0000-0000-00003E030000}"/>
    <cellStyle name="Millares 10 3 2 2 2" xfId="2664" xr:uid="{00000000-0005-0000-0000-00003F030000}"/>
    <cellStyle name="Millares 10 3 2 2 2 2" xfId="4246" xr:uid="{00000000-0005-0000-0000-000040030000}"/>
    <cellStyle name="Millares 10 3 2 2 3" xfId="1873" xr:uid="{00000000-0005-0000-0000-000041030000}"/>
    <cellStyle name="Millares 10 3 2 2 4" xfId="3455" xr:uid="{00000000-0005-0000-0000-000042030000}"/>
    <cellStyle name="Millares 10 3 2 3" xfId="2270" xr:uid="{00000000-0005-0000-0000-000043030000}"/>
    <cellStyle name="Millares 10 3 2 3 2" xfId="3852" xr:uid="{00000000-0005-0000-0000-000044030000}"/>
    <cellStyle name="Millares 10 3 2 4" xfId="1479" xr:uid="{00000000-0005-0000-0000-000045030000}"/>
    <cellStyle name="Millares 10 3 2 5" xfId="3061" xr:uid="{00000000-0005-0000-0000-000046030000}"/>
    <cellStyle name="Millares 10 3 3" xfId="860" xr:uid="{00000000-0005-0000-0000-000047030000}"/>
    <cellStyle name="Millares 10 3 3 2" xfId="2443" xr:uid="{00000000-0005-0000-0000-000048030000}"/>
    <cellStyle name="Millares 10 3 3 2 2" xfId="4025" xr:uid="{00000000-0005-0000-0000-000049030000}"/>
    <cellStyle name="Millares 10 3 3 3" xfId="1652" xr:uid="{00000000-0005-0000-0000-00004A030000}"/>
    <cellStyle name="Millares 10 3 3 4" xfId="3234" xr:uid="{00000000-0005-0000-0000-00004B030000}"/>
    <cellStyle name="Millares 10 3 4" xfId="2049" xr:uid="{00000000-0005-0000-0000-00004C030000}"/>
    <cellStyle name="Millares 10 3 4 2" xfId="3631" xr:uid="{00000000-0005-0000-0000-00004D030000}"/>
    <cellStyle name="Millares 10 3 5" xfId="1258" xr:uid="{00000000-0005-0000-0000-00004E030000}"/>
    <cellStyle name="Millares 10 3 6" xfId="2840" xr:uid="{00000000-0005-0000-0000-00004F030000}"/>
    <cellStyle name="Millares 10 4" xfId="530" xr:uid="{00000000-0005-0000-0000-000050030000}"/>
    <cellStyle name="Millares 10 4 2" xfId="937" xr:uid="{00000000-0005-0000-0000-000051030000}"/>
    <cellStyle name="Millares 10 4 2 2" xfId="2520" xr:uid="{00000000-0005-0000-0000-000052030000}"/>
    <cellStyle name="Millares 10 4 2 2 2" xfId="4102" xr:uid="{00000000-0005-0000-0000-000053030000}"/>
    <cellStyle name="Millares 10 4 2 3" xfId="1729" xr:uid="{00000000-0005-0000-0000-000054030000}"/>
    <cellStyle name="Millares 10 4 2 4" xfId="3311" xr:uid="{00000000-0005-0000-0000-000055030000}"/>
    <cellStyle name="Millares 10 4 3" xfId="2126" xr:uid="{00000000-0005-0000-0000-000056030000}"/>
    <cellStyle name="Millares 10 4 3 2" xfId="3708" xr:uid="{00000000-0005-0000-0000-000057030000}"/>
    <cellStyle name="Millares 10 4 4" xfId="1335" xr:uid="{00000000-0005-0000-0000-000058030000}"/>
    <cellStyle name="Millares 10 4 5" xfId="2917" xr:uid="{00000000-0005-0000-0000-000059030000}"/>
    <cellStyle name="Millares 10 5" xfId="605" xr:uid="{00000000-0005-0000-0000-00005A030000}"/>
    <cellStyle name="Millares 10 5 2" xfId="1005" xr:uid="{00000000-0005-0000-0000-00005B030000}"/>
    <cellStyle name="Millares 10 5 2 2" xfId="2588" xr:uid="{00000000-0005-0000-0000-00005C030000}"/>
    <cellStyle name="Millares 10 5 2 2 2" xfId="4170" xr:uid="{00000000-0005-0000-0000-00005D030000}"/>
    <cellStyle name="Millares 10 5 2 3" xfId="1797" xr:uid="{00000000-0005-0000-0000-00005E030000}"/>
    <cellStyle name="Millares 10 5 2 4" xfId="3379" xr:uid="{00000000-0005-0000-0000-00005F030000}"/>
    <cellStyle name="Millares 10 5 3" xfId="2194" xr:uid="{00000000-0005-0000-0000-000060030000}"/>
    <cellStyle name="Millares 10 5 3 2" xfId="3776" xr:uid="{00000000-0005-0000-0000-000061030000}"/>
    <cellStyle name="Millares 10 5 4" xfId="1403" xr:uid="{00000000-0005-0000-0000-000062030000}"/>
    <cellStyle name="Millares 10 5 5" xfId="2985" xr:uid="{00000000-0005-0000-0000-000063030000}"/>
    <cellStyle name="Millares 10 6" xfId="757" xr:uid="{00000000-0005-0000-0000-000064030000}"/>
    <cellStyle name="Millares 10 6 2" xfId="1157" xr:uid="{00000000-0005-0000-0000-000065030000}"/>
    <cellStyle name="Millares 10 6 2 2" xfId="2740" xr:uid="{00000000-0005-0000-0000-000066030000}"/>
    <cellStyle name="Millares 10 6 2 2 2" xfId="4322" xr:uid="{00000000-0005-0000-0000-000067030000}"/>
    <cellStyle name="Millares 10 6 2 3" xfId="1949" xr:uid="{00000000-0005-0000-0000-000068030000}"/>
    <cellStyle name="Millares 10 6 2 4" xfId="3531" xr:uid="{00000000-0005-0000-0000-000069030000}"/>
    <cellStyle name="Millares 10 6 3" xfId="2346" xr:uid="{00000000-0005-0000-0000-00006A030000}"/>
    <cellStyle name="Millares 10 6 3 2" xfId="3928" xr:uid="{00000000-0005-0000-0000-00006B030000}"/>
    <cellStyle name="Millares 10 6 4" xfId="1555" xr:uid="{00000000-0005-0000-0000-00006C030000}"/>
    <cellStyle name="Millares 10 6 5" xfId="3137" xr:uid="{00000000-0005-0000-0000-00006D030000}"/>
    <cellStyle name="Millares 10 7" xfId="784" xr:uid="{00000000-0005-0000-0000-00006E030000}"/>
    <cellStyle name="Millares 10 7 2" xfId="2367" xr:uid="{00000000-0005-0000-0000-00006F030000}"/>
    <cellStyle name="Millares 10 7 2 2" xfId="3949" xr:uid="{00000000-0005-0000-0000-000070030000}"/>
    <cellStyle name="Millares 10 7 3" xfId="1576" xr:uid="{00000000-0005-0000-0000-000071030000}"/>
    <cellStyle name="Millares 10 7 4" xfId="3158" xr:uid="{00000000-0005-0000-0000-000072030000}"/>
    <cellStyle name="Millares 10 8" xfId="1973" xr:uid="{00000000-0005-0000-0000-000073030000}"/>
    <cellStyle name="Millares 10 8 2" xfId="3555" xr:uid="{00000000-0005-0000-0000-000074030000}"/>
    <cellStyle name="Millares 10 9" xfId="1182" xr:uid="{00000000-0005-0000-0000-000075030000}"/>
    <cellStyle name="Millares 11" xfId="308" xr:uid="{00000000-0005-0000-0000-000076030000}"/>
    <cellStyle name="Millares 11 10" xfId="2768" xr:uid="{00000000-0005-0000-0000-000077030000}"/>
    <cellStyle name="Millares 11 11" xfId="4632" xr:uid="{4F3BA149-2CFE-423C-8798-A0EA9F86DC6C}"/>
    <cellStyle name="Millares 11 11 2" xfId="5008" xr:uid="{57A91065-E473-4D86-9EA9-68C07108F90B}"/>
    <cellStyle name="Millares 11 12" xfId="4398" xr:uid="{7E3B0527-7723-43DA-B9DD-C61A9DE9ECE2}"/>
    <cellStyle name="Millares 11 2" xfId="386" xr:uid="{00000000-0005-0000-0000-000078030000}"/>
    <cellStyle name="Millares 11 2 2" xfId="498" xr:uid="{00000000-0005-0000-0000-000079030000}"/>
    <cellStyle name="Millares 11 2 2 2" xfId="726" xr:uid="{00000000-0005-0000-0000-00007A030000}"/>
    <cellStyle name="Millares 11 2 2 2 2" xfId="1126" xr:uid="{00000000-0005-0000-0000-00007B030000}"/>
    <cellStyle name="Millares 11 2 2 2 2 2" xfId="2709" xr:uid="{00000000-0005-0000-0000-00007C030000}"/>
    <cellStyle name="Millares 11 2 2 2 2 2 2" xfId="4291" xr:uid="{00000000-0005-0000-0000-00007D030000}"/>
    <cellStyle name="Millares 11 2 2 2 2 3" xfId="1918" xr:uid="{00000000-0005-0000-0000-00007E030000}"/>
    <cellStyle name="Millares 11 2 2 2 2 4" xfId="3500" xr:uid="{00000000-0005-0000-0000-00007F030000}"/>
    <cellStyle name="Millares 11 2 2 2 3" xfId="2315" xr:uid="{00000000-0005-0000-0000-000080030000}"/>
    <cellStyle name="Millares 11 2 2 2 3 2" xfId="3897" xr:uid="{00000000-0005-0000-0000-000081030000}"/>
    <cellStyle name="Millares 11 2 2 2 4" xfId="1524" xr:uid="{00000000-0005-0000-0000-000082030000}"/>
    <cellStyle name="Millares 11 2 2 2 5" xfId="3106" xr:uid="{00000000-0005-0000-0000-000083030000}"/>
    <cellStyle name="Millares 11 2 2 3" xfId="905" xr:uid="{00000000-0005-0000-0000-000084030000}"/>
    <cellStyle name="Millares 11 2 2 3 2" xfId="2488" xr:uid="{00000000-0005-0000-0000-000085030000}"/>
    <cellStyle name="Millares 11 2 2 3 2 2" xfId="4070" xr:uid="{00000000-0005-0000-0000-000086030000}"/>
    <cellStyle name="Millares 11 2 2 3 3" xfId="1697" xr:uid="{00000000-0005-0000-0000-000087030000}"/>
    <cellStyle name="Millares 11 2 2 3 4" xfId="3279" xr:uid="{00000000-0005-0000-0000-000088030000}"/>
    <cellStyle name="Millares 11 2 2 4" xfId="2094" xr:uid="{00000000-0005-0000-0000-000089030000}"/>
    <cellStyle name="Millares 11 2 2 4 2" xfId="3676" xr:uid="{00000000-0005-0000-0000-00008A030000}"/>
    <cellStyle name="Millares 11 2 2 5" xfId="1303" xr:uid="{00000000-0005-0000-0000-00008B030000}"/>
    <cellStyle name="Millares 11 2 2 6" xfId="2885" xr:uid="{00000000-0005-0000-0000-00008C030000}"/>
    <cellStyle name="Millares 11 2 3" xfId="575" xr:uid="{00000000-0005-0000-0000-00008D030000}"/>
    <cellStyle name="Millares 11 2 3 2" xfId="982" xr:uid="{00000000-0005-0000-0000-00008E030000}"/>
    <cellStyle name="Millares 11 2 3 2 2" xfId="2565" xr:uid="{00000000-0005-0000-0000-00008F030000}"/>
    <cellStyle name="Millares 11 2 3 2 2 2" xfId="4147" xr:uid="{00000000-0005-0000-0000-000090030000}"/>
    <cellStyle name="Millares 11 2 3 2 3" xfId="1774" xr:uid="{00000000-0005-0000-0000-000091030000}"/>
    <cellStyle name="Millares 11 2 3 2 4" xfId="3356" xr:uid="{00000000-0005-0000-0000-000092030000}"/>
    <cellStyle name="Millares 11 2 3 3" xfId="2171" xr:uid="{00000000-0005-0000-0000-000093030000}"/>
    <cellStyle name="Millares 11 2 3 3 2" xfId="3753" xr:uid="{00000000-0005-0000-0000-000094030000}"/>
    <cellStyle name="Millares 11 2 3 4" xfId="1380" xr:uid="{00000000-0005-0000-0000-000095030000}"/>
    <cellStyle name="Millares 11 2 3 5" xfId="2962" xr:uid="{00000000-0005-0000-0000-000096030000}"/>
    <cellStyle name="Millares 11 2 4" xfId="650" xr:uid="{00000000-0005-0000-0000-000097030000}"/>
    <cellStyle name="Millares 11 2 4 2" xfId="1050" xr:uid="{00000000-0005-0000-0000-000098030000}"/>
    <cellStyle name="Millares 11 2 4 2 2" xfId="2633" xr:uid="{00000000-0005-0000-0000-000099030000}"/>
    <cellStyle name="Millares 11 2 4 2 2 2" xfId="4215" xr:uid="{00000000-0005-0000-0000-00009A030000}"/>
    <cellStyle name="Millares 11 2 4 2 3" xfId="1842" xr:uid="{00000000-0005-0000-0000-00009B030000}"/>
    <cellStyle name="Millares 11 2 4 2 4" xfId="3424" xr:uid="{00000000-0005-0000-0000-00009C030000}"/>
    <cellStyle name="Millares 11 2 4 3" xfId="2239" xr:uid="{00000000-0005-0000-0000-00009D030000}"/>
    <cellStyle name="Millares 11 2 4 3 2" xfId="3821" xr:uid="{00000000-0005-0000-0000-00009E030000}"/>
    <cellStyle name="Millares 11 2 4 4" xfId="1448" xr:uid="{00000000-0005-0000-0000-00009F030000}"/>
    <cellStyle name="Millares 11 2 4 5" xfId="3030" xr:uid="{00000000-0005-0000-0000-0000A0030000}"/>
    <cellStyle name="Millares 11 2 5" xfId="829" xr:uid="{00000000-0005-0000-0000-0000A1030000}"/>
    <cellStyle name="Millares 11 2 5 2" xfId="2412" xr:uid="{00000000-0005-0000-0000-0000A2030000}"/>
    <cellStyle name="Millares 11 2 5 2 2" xfId="3994" xr:uid="{00000000-0005-0000-0000-0000A3030000}"/>
    <cellStyle name="Millares 11 2 5 3" xfId="1621" xr:uid="{00000000-0005-0000-0000-0000A4030000}"/>
    <cellStyle name="Millares 11 2 5 4" xfId="3203" xr:uid="{00000000-0005-0000-0000-0000A5030000}"/>
    <cellStyle name="Millares 11 2 6" xfId="2018" xr:uid="{00000000-0005-0000-0000-0000A6030000}"/>
    <cellStyle name="Millares 11 2 6 2" xfId="3600" xr:uid="{00000000-0005-0000-0000-0000A7030000}"/>
    <cellStyle name="Millares 11 2 7" xfId="1227" xr:uid="{00000000-0005-0000-0000-0000A8030000}"/>
    <cellStyle name="Millares 11 2 8" xfId="2809" xr:uid="{00000000-0005-0000-0000-0000A9030000}"/>
    <cellStyle name="Millares 11 3" xfId="457" xr:uid="{00000000-0005-0000-0000-0000AA030000}"/>
    <cellStyle name="Millares 11 3 2" xfId="685" xr:uid="{00000000-0005-0000-0000-0000AB030000}"/>
    <cellStyle name="Millares 11 3 2 2" xfId="1085" xr:uid="{00000000-0005-0000-0000-0000AC030000}"/>
    <cellStyle name="Millares 11 3 2 2 2" xfId="2668" xr:uid="{00000000-0005-0000-0000-0000AD030000}"/>
    <cellStyle name="Millares 11 3 2 2 2 2" xfId="4250" xr:uid="{00000000-0005-0000-0000-0000AE030000}"/>
    <cellStyle name="Millares 11 3 2 2 3" xfId="1877" xr:uid="{00000000-0005-0000-0000-0000AF030000}"/>
    <cellStyle name="Millares 11 3 2 2 4" xfId="3459" xr:uid="{00000000-0005-0000-0000-0000B0030000}"/>
    <cellStyle name="Millares 11 3 2 3" xfId="2274" xr:uid="{00000000-0005-0000-0000-0000B1030000}"/>
    <cellStyle name="Millares 11 3 2 3 2" xfId="3856" xr:uid="{00000000-0005-0000-0000-0000B2030000}"/>
    <cellStyle name="Millares 11 3 2 4" xfId="1483" xr:uid="{00000000-0005-0000-0000-0000B3030000}"/>
    <cellStyle name="Millares 11 3 2 5" xfId="3065" xr:uid="{00000000-0005-0000-0000-0000B4030000}"/>
    <cellStyle name="Millares 11 3 3" xfId="864" xr:uid="{00000000-0005-0000-0000-0000B5030000}"/>
    <cellStyle name="Millares 11 3 3 2" xfId="2447" xr:uid="{00000000-0005-0000-0000-0000B6030000}"/>
    <cellStyle name="Millares 11 3 3 2 2" xfId="4029" xr:uid="{00000000-0005-0000-0000-0000B7030000}"/>
    <cellStyle name="Millares 11 3 3 3" xfId="1656" xr:uid="{00000000-0005-0000-0000-0000B8030000}"/>
    <cellStyle name="Millares 11 3 3 4" xfId="3238" xr:uid="{00000000-0005-0000-0000-0000B9030000}"/>
    <cellStyle name="Millares 11 3 4" xfId="2053" xr:uid="{00000000-0005-0000-0000-0000BA030000}"/>
    <cellStyle name="Millares 11 3 4 2" xfId="3635" xr:uid="{00000000-0005-0000-0000-0000BB030000}"/>
    <cellStyle name="Millares 11 3 5" xfId="1262" xr:uid="{00000000-0005-0000-0000-0000BC030000}"/>
    <cellStyle name="Millares 11 3 6" xfId="2844" xr:uid="{00000000-0005-0000-0000-0000BD030000}"/>
    <cellStyle name="Millares 11 4" xfId="534" xr:uid="{00000000-0005-0000-0000-0000BE030000}"/>
    <cellStyle name="Millares 11 4 2" xfId="941" xr:uid="{00000000-0005-0000-0000-0000BF030000}"/>
    <cellStyle name="Millares 11 4 2 2" xfId="2524" xr:uid="{00000000-0005-0000-0000-0000C0030000}"/>
    <cellStyle name="Millares 11 4 2 2 2" xfId="4106" xr:uid="{00000000-0005-0000-0000-0000C1030000}"/>
    <cellStyle name="Millares 11 4 2 3" xfId="1733" xr:uid="{00000000-0005-0000-0000-0000C2030000}"/>
    <cellStyle name="Millares 11 4 2 4" xfId="3315" xr:uid="{00000000-0005-0000-0000-0000C3030000}"/>
    <cellStyle name="Millares 11 4 3" xfId="2130" xr:uid="{00000000-0005-0000-0000-0000C4030000}"/>
    <cellStyle name="Millares 11 4 3 2" xfId="3712" xr:uid="{00000000-0005-0000-0000-0000C5030000}"/>
    <cellStyle name="Millares 11 4 4" xfId="1339" xr:uid="{00000000-0005-0000-0000-0000C6030000}"/>
    <cellStyle name="Millares 11 4 5" xfId="2921" xr:uid="{00000000-0005-0000-0000-0000C7030000}"/>
    <cellStyle name="Millares 11 5" xfId="609" xr:uid="{00000000-0005-0000-0000-0000C8030000}"/>
    <cellStyle name="Millares 11 5 2" xfId="1009" xr:uid="{00000000-0005-0000-0000-0000C9030000}"/>
    <cellStyle name="Millares 11 5 2 2" xfId="2592" xr:uid="{00000000-0005-0000-0000-0000CA030000}"/>
    <cellStyle name="Millares 11 5 2 2 2" xfId="4174" xr:uid="{00000000-0005-0000-0000-0000CB030000}"/>
    <cellStyle name="Millares 11 5 2 3" xfId="1801" xr:uid="{00000000-0005-0000-0000-0000CC030000}"/>
    <cellStyle name="Millares 11 5 2 4" xfId="3383" xr:uid="{00000000-0005-0000-0000-0000CD030000}"/>
    <cellStyle name="Millares 11 5 3" xfId="2198" xr:uid="{00000000-0005-0000-0000-0000CE030000}"/>
    <cellStyle name="Millares 11 5 3 2" xfId="3780" xr:uid="{00000000-0005-0000-0000-0000CF030000}"/>
    <cellStyle name="Millares 11 5 4" xfId="1407" xr:uid="{00000000-0005-0000-0000-0000D0030000}"/>
    <cellStyle name="Millares 11 5 5" xfId="2989" xr:uid="{00000000-0005-0000-0000-0000D1030000}"/>
    <cellStyle name="Millares 11 6" xfId="761" xr:uid="{00000000-0005-0000-0000-0000D2030000}"/>
    <cellStyle name="Millares 11 6 2" xfId="1161" xr:uid="{00000000-0005-0000-0000-0000D3030000}"/>
    <cellStyle name="Millares 11 6 2 2" xfId="2744" xr:uid="{00000000-0005-0000-0000-0000D4030000}"/>
    <cellStyle name="Millares 11 6 2 2 2" xfId="4326" xr:uid="{00000000-0005-0000-0000-0000D5030000}"/>
    <cellStyle name="Millares 11 6 2 3" xfId="1953" xr:uid="{00000000-0005-0000-0000-0000D6030000}"/>
    <cellStyle name="Millares 11 6 2 4" xfId="3535" xr:uid="{00000000-0005-0000-0000-0000D7030000}"/>
    <cellStyle name="Millares 11 6 3" xfId="2350" xr:uid="{00000000-0005-0000-0000-0000D8030000}"/>
    <cellStyle name="Millares 11 6 3 2" xfId="3932" xr:uid="{00000000-0005-0000-0000-0000D9030000}"/>
    <cellStyle name="Millares 11 6 4" xfId="1559" xr:uid="{00000000-0005-0000-0000-0000DA030000}"/>
    <cellStyle name="Millares 11 6 5" xfId="3141" xr:uid="{00000000-0005-0000-0000-0000DB030000}"/>
    <cellStyle name="Millares 11 7" xfId="788" xr:uid="{00000000-0005-0000-0000-0000DC030000}"/>
    <cellStyle name="Millares 11 7 2" xfId="2371" xr:uid="{00000000-0005-0000-0000-0000DD030000}"/>
    <cellStyle name="Millares 11 7 2 2" xfId="3953" xr:uid="{00000000-0005-0000-0000-0000DE030000}"/>
    <cellStyle name="Millares 11 7 3" xfId="1580" xr:uid="{00000000-0005-0000-0000-0000DF030000}"/>
    <cellStyle name="Millares 11 7 4" xfId="3162" xr:uid="{00000000-0005-0000-0000-0000E0030000}"/>
    <cellStyle name="Millares 11 8" xfId="1977" xr:uid="{00000000-0005-0000-0000-0000E1030000}"/>
    <cellStyle name="Millares 11 8 2" xfId="3559" xr:uid="{00000000-0005-0000-0000-0000E2030000}"/>
    <cellStyle name="Millares 11 9" xfId="1186" xr:uid="{00000000-0005-0000-0000-0000E3030000}"/>
    <cellStyle name="Millares 12" xfId="347" xr:uid="{00000000-0005-0000-0000-0000E4030000}"/>
    <cellStyle name="Millares 12 10" xfId="4423" xr:uid="{E0F5773B-CFA1-4166-B8A5-B33DEAB7A2E4}"/>
    <cellStyle name="Millares 12 2" xfId="468" xr:uid="{00000000-0005-0000-0000-0000E5030000}"/>
    <cellStyle name="Millares 12 2 2" xfId="696" xr:uid="{00000000-0005-0000-0000-0000E6030000}"/>
    <cellStyle name="Millares 12 2 2 2" xfId="1096" xr:uid="{00000000-0005-0000-0000-0000E7030000}"/>
    <cellStyle name="Millares 12 2 2 2 2" xfId="2679" xr:uid="{00000000-0005-0000-0000-0000E8030000}"/>
    <cellStyle name="Millares 12 2 2 2 2 2" xfId="4261" xr:uid="{00000000-0005-0000-0000-0000E9030000}"/>
    <cellStyle name="Millares 12 2 2 2 3" xfId="1888" xr:uid="{00000000-0005-0000-0000-0000EA030000}"/>
    <cellStyle name="Millares 12 2 2 2 4" xfId="3470" xr:uid="{00000000-0005-0000-0000-0000EB030000}"/>
    <cellStyle name="Millares 12 2 2 3" xfId="2285" xr:uid="{00000000-0005-0000-0000-0000EC030000}"/>
    <cellStyle name="Millares 12 2 2 3 2" xfId="3867" xr:uid="{00000000-0005-0000-0000-0000ED030000}"/>
    <cellStyle name="Millares 12 2 2 4" xfId="1494" xr:uid="{00000000-0005-0000-0000-0000EE030000}"/>
    <cellStyle name="Millares 12 2 2 5" xfId="3076" xr:uid="{00000000-0005-0000-0000-0000EF030000}"/>
    <cellStyle name="Millares 12 2 3" xfId="875" xr:uid="{00000000-0005-0000-0000-0000F0030000}"/>
    <cellStyle name="Millares 12 2 3 2" xfId="2458" xr:uid="{00000000-0005-0000-0000-0000F1030000}"/>
    <cellStyle name="Millares 12 2 3 2 2" xfId="4040" xr:uid="{00000000-0005-0000-0000-0000F2030000}"/>
    <cellStyle name="Millares 12 2 3 3" xfId="1667" xr:uid="{00000000-0005-0000-0000-0000F3030000}"/>
    <cellStyle name="Millares 12 2 3 4" xfId="3249" xr:uid="{00000000-0005-0000-0000-0000F4030000}"/>
    <cellStyle name="Millares 12 2 4" xfId="2064" xr:uid="{00000000-0005-0000-0000-0000F5030000}"/>
    <cellStyle name="Millares 12 2 4 2" xfId="3646" xr:uid="{00000000-0005-0000-0000-0000F6030000}"/>
    <cellStyle name="Millares 12 2 5" xfId="1273" xr:uid="{00000000-0005-0000-0000-0000F7030000}"/>
    <cellStyle name="Millares 12 2 6" xfId="2855" xr:uid="{00000000-0005-0000-0000-0000F8030000}"/>
    <cellStyle name="Millares 12 3" xfId="545" xr:uid="{00000000-0005-0000-0000-0000F9030000}"/>
    <cellStyle name="Millares 12 3 2" xfId="952" xr:uid="{00000000-0005-0000-0000-0000FA030000}"/>
    <cellStyle name="Millares 12 3 2 2" xfId="2535" xr:uid="{00000000-0005-0000-0000-0000FB030000}"/>
    <cellStyle name="Millares 12 3 2 2 2" xfId="4117" xr:uid="{00000000-0005-0000-0000-0000FC030000}"/>
    <cellStyle name="Millares 12 3 2 3" xfId="1744" xr:uid="{00000000-0005-0000-0000-0000FD030000}"/>
    <cellStyle name="Millares 12 3 2 4" xfId="3326" xr:uid="{00000000-0005-0000-0000-0000FE030000}"/>
    <cellStyle name="Millares 12 3 3" xfId="2141" xr:uid="{00000000-0005-0000-0000-0000FF030000}"/>
    <cellStyle name="Millares 12 3 3 2" xfId="3723" xr:uid="{00000000-0005-0000-0000-000000040000}"/>
    <cellStyle name="Millares 12 3 4" xfId="1350" xr:uid="{00000000-0005-0000-0000-000001040000}"/>
    <cellStyle name="Millares 12 3 5" xfId="2932" xr:uid="{00000000-0005-0000-0000-000002040000}"/>
    <cellStyle name="Millares 12 4" xfId="620" xr:uid="{00000000-0005-0000-0000-000003040000}"/>
    <cellStyle name="Millares 12 4 2" xfId="1020" xr:uid="{00000000-0005-0000-0000-000004040000}"/>
    <cellStyle name="Millares 12 4 2 2" xfId="2603" xr:uid="{00000000-0005-0000-0000-000005040000}"/>
    <cellStyle name="Millares 12 4 2 2 2" xfId="4185" xr:uid="{00000000-0005-0000-0000-000006040000}"/>
    <cellStyle name="Millares 12 4 2 3" xfId="1812" xr:uid="{00000000-0005-0000-0000-000007040000}"/>
    <cellStyle name="Millares 12 4 2 4" xfId="3394" xr:uid="{00000000-0005-0000-0000-000008040000}"/>
    <cellStyle name="Millares 12 4 3" xfId="2209" xr:uid="{00000000-0005-0000-0000-000009040000}"/>
    <cellStyle name="Millares 12 4 3 2" xfId="3791" xr:uid="{00000000-0005-0000-0000-00000A040000}"/>
    <cellStyle name="Millares 12 4 4" xfId="1418" xr:uid="{00000000-0005-0000-0000-00000B040000}"/>
    <cellStyle name="Millares 12 4 5" xfId="3000" xr:uid="{00000000-0005-0000-0000-00000C040000}"/>
    <cellStyle name="Millares 12 5" xfId="799" xr:uid="{00000000-0005-0000-0000-00000D040000}"/>
    <cellStyle name="Millares 12 5 2" xfId="2382" xr:uid="{00000000-0005-0000-0000-00000E040000}"/>
    <cellStyle name="Millares 12 5 2 2" xfId="3964" xr:uid="{00000000-0005-0000-0000-00000F040000}"/>
    <cellStyle name="Millares 12 5 3" xfId="1591" xr:uid="{00000000-0005-0000-0000-000010040000}"/>
    <cellStyle name="Millares 12 5 4" xfId="3173" xr:uid="{00000000-0005-0000-0000-000011040000}"/>
    <cellStyle name="Millares 12 6" xfId="1988" xr:uid="{00000000-0005-0000-0000-000012040000}"/>
    <cellStyle name="Millares 12 6 2" xfId="3570" xr:uid="{00000000-0005-0000-0000-000013040000}"/>
    <cellStyle name="Millares 12 7" xfId="1197" xr:uid="{00000000-0005-0000-0000-000014040000}"/>
    <cellStyle name="Millares 12 8" xfId="2779" xr:uid="{00000000-0005-0000-0000-000015040000}"/>
    <cellStyle name="Millares 12 9" xfId="4654" xr:uid="{650C2937-5569-473E-824B-31E50C4D0418}"/>
    <cellStyle name="Millares 12 9 2" xfId="5027" xr:uid="{AFEE87E3-3B74-4BBA-890A-81C135D9A072}"/>
    <cellStyle name="Millares 13" xfId="365" xr:uid="{00000000-0005-0000-0000-000016040000}"/>
    <cellStyle name="Millares 13 10" xfId="4405" xr:uid="{ACF34E1D-5AA4-4EA4-B659-DC6313CA94B2}"/>
    <cellStyle name="Millares 13 2" xfId="483" xr:uid="{00000000-0005-0000-0000-000017040000}"/>
    <cellStyle name="Millares 13 2 2" xfId="711" xr:uid="{00000000-0005-0000-0000-000018040000}"/>
    <cellStyle name="Millares 13 2 2 2" xfId="1111" xr:uid="{00000000-0005-0000-0000-000019040000}"/>
    <cellStyle name="Millares 13 2 2 2 2" xfId="2694" xr:uid="{00000000-0005-0000-0000-00001A040000}"/>
    <cellStyle name="Millares 13 2 2 2 2 2" xfId="4276" xr:uid="{00000000-0005-0000-0000-00001B040000}"/>
    <cellStyle name="Millares 13 2 2 2 3" xfId="1903" xr:uid="{00000000-0005-0000-0000-00001C040000}"/>
    <cellStyle name="Millares 13 2 2 2 4" xfId="3485" xr:uid="{00000000-0005-0000-0000-00001D040000}"/>
    <cellStyle name="Millares 13 2 2 3" xfId="2300" xr:uid="{00000000-0005-0000-0000-00001E040000}"/>
    <cellStyle name="Millares 13 2 2 3 2" xfId="3882" xr:uid="{00000000-0005-0000-0000-00001F040000}"/>
    <cellStyle name="Millares 13 2 2 4" xfId="1509" xr:uid="{00000000-0005-0000-0000-000020040000}"/>
    <cellStyle name="Millares 13 2 2 5" xfId="3091" xr:uid="{00000000-0005-0000-0000-000021040000}"/>
    <cellStyle name="Millares 13 2 3" xfId="890" xr:uid="{00000000-0005-0000-0000-000022040000}"/>
    <cellStyle name="Millares 13 2 3 2" xfId="2473" xr:uid="{00000000-0005-0000-0000-000023040000}"/>
    <cellStyle name="Millares 13 2 3 2 2" xfId="4055" xr:uid="{00000000-0005-0000-0000-000024040000}"/>
    <cellStyle name="Millares 13 2 3 3" xfId="1682" xr:uid="{00000000-0005-0000-0000-000025040000}"/>
    <cellStyle name="Millares 13 2 3 4" xfId="3264" xr:uid="{00000000-0005-0000-0000-000026040000}"/>
    <cellStyle name="Millares 13 2 4" xfId="2079" xr:uid="{00000000-0005-0000-0000-000027040000}"/>
    <cellStyle name="Millares 13 2 4 2" xfId="3661" xr:uid="{00000000-0005-0000-0000-000028040000}"/>
    <cellStyle name="Millares 13 2 5" xfId="1288" xr:uid="{00000000-0005-0000-0000-000029040000}"/>
    <cellStyle name="Millares 13 2 6" xfId="2870" xr:uid="{00000000-0005-0000-0000-00002A040000}"/>
    <cellStyle name="Millares 13 3" xfId="560" xr:uid="{00000000-0005-0000-0000-00002B040000}"/>
    <cellStyle name="Millares 13 3 2" xfId="967" xr:uid="{00000000-0005-0000-0000-00002C040000}"/>
    <cellStyle name="Millares 13 3 2 2" xfId="2550" xr:uid="{00000000-0005-0000-0000-00002D040000}"/>
    <cellStyle name="Millares 13 3 2 2 2" xfId="4132" xr:uid="{00000000-0005-0000-0000-00002E040000}"/>
    <cellStyle name="Millares 13 3 2 3" xfId="1759" xr:uid="{00000000-0005-0000-0000-00002F040000}"/>
    <cellStyle name="Millares 13 3 2 4" xfId="3341" xr:uid="{00000000-0005-0000-0000-000030040000}"/>
    <cellStyle name="Millares 13 3 3" xfId="2156" xr:uid="{00000000-0005-0000-0000-000031040000}"/>
    <cellStyle name="Millares 13 3 3 2" xfId="3738" xr:uid="{00000000-0005-0000-0000-000032040000}"/>
    <cellStyle name="Millares 13 3 4" xfId="1365" xr:uid="{00000000-0005-0000-0000-000033040000}"/>
    <cellStyle name="Millares 13 3 5" xfId="2947" xr:uid="{00000000-0005-0000-0000-000034040000}"/>
    <cellStyle name="Millares 13 4" xfId="635" xr:uid="{00000000-0005-0000-0000-000035040000}"/>
    <cellStyle name="Millares 13 4 2" xfId="1035" xr:uid="{00000000-0005-0000-0000-000036040000}"/>
    <cellStyle name="Millares 13 4 2 2" xfId="2618" xr:uid="{00000000-0005-0000-0000-000037040000}"/>
    <cellStyle name="Millares 13 4 2 2 2" xfId="4200" xr:uid="{00000000-0005-0000-0000-000038040000}"/>
    <cellStyle name="Millares 13 4 2 3" xfId="1827" xr:uid="{00000000-0005-0000-0000-000039040000}"/>
    <cellStyle name="Millares 13 4 2 4" xfId="3409" xr:uid="{00000000-0005-0000-0000-00003A040000}"/>
    <cellStyle name="Millares 13 4 3" xfId="2224" xr:uid="{00000000-0005-0000-0000-00003B040000}"/>
    <cellStyle name="Millares 13 4 3 2" xfId="3806" xr:uid="{00000000-0005-0000-0000-00003C040000}"/>
    <cellStyle name="Millares 13 4 4" xfId="1433" xr:uid="{00000000-0005-0000-0000-00003D040000}"/>
    <cellStyle name="Millares 13 4 5" xfId="3015" xr:uid="{00000000-0005-0000-0000-00003E040000}"/>
    <cellStyle name="Millares 13 5" xfId="814" xr:uid="{00000000-0005-0000-0000-00003F040000}"/>
    <cellStyle name="Millares 13 5 2" xfId="2397" xr:uid="{00000000-0005-0000-0000-000040040000}"/>
    <cellStyle name="Millares 13 5 2 2" xfId="3979" xr:uid="{00000000-0005-0000-0000-000041040000}"/>
    <cellStyle name="Millares 13 5 3" xfId="1606" xr:uid="{00000000-0005-0000-0000-000042040000}"/>
    <cellStyle name="Millares 13 5 4" xfId="3188" xr:uid="{00000000-0005-0000-0000-000043040000}"/>
    <cellStyle name="Millares 13 6" xfId="2003" xr:uid="{00000000-0005-0000-0000-000044040000}"/>
    <cellStyle name="Millares 13 6 2" xfId="3585" xr:uid="{00000000-0005-0000-0000-000045040000}"/>
    <cellStyle name="Millares 13 7" xfId="1212" xr:uid="{00000000-0005-0000-0000-000046040000}"/>
    <cellStyle name="Millares 13 8" xfId="2794" xr:uid="{00000000-0005-0000-0000-000047040000}"/>
    <cellStyle name="Millares 13 9" xfId="4639" xr:uid="{E46CFC3C-84E1-4B66-A92C-00C057845277}"/>
    <cellStyle name="Millares 13 9 2" xfId="5012" xr:uid="{F307AC76-93F1-426D-A3F8-F9F28A1A6055}"/>
    <cellStyle name="Millares 14" xfId="351" xr:uid="{00000000-0005-0000-0000-000048040000}"/>
    <cellStyle name="Millares 14 10" xfId="4404" xr:uid="{58AEC833-17F9-4939-BBEA-358DFF5ACDC1}"/>
    <cellStyle name="Millares 14 2" xfId="472" xr:uid="{00000000-0005-0000-0000-000049040000}"/>
    <cellStyle name="Millares 14 2 2" xfId="700" xr:uid="{00000000-0005-0000-0000-00004A040000}"/>
    <cellStyle name="Millares 14 2 2 2" xfId="1100" xr:uid="{00000000-0005-0000-0000-00004B040000}"/>
    <cellStyle name="Millares 14 2 2 2 2" xfId="2683" xr:uid="{00000000-0005-0000-0000-00004C040000}"/>
    <cellStyle name="Millares 14 2 2 2 2 2" xfId="4265" xr:uid="{00000000-0005-0000-0000-00004D040000}"/>
    <cellStyle name="Millares 14 2 2 2 3" xfId="1892" xr:uid="{00000000-0005-0000-0000-00004E040000}"/>
    <cellStyle name="Millares 14 2 2 2 4" xfId="3474" xr:uid="{00000000-0005-0000-0000-00004F040000}"/>
    <cellStyle name="Millares 14 2 2 3" xfId="2289" xr:uid="{00000000-0005-0000-0000-000050040000}"/>
    <cellStyle name="Millares 14 2 2 3 2" xfId="3871" xr:uid="{00000000-0005-0000-0000-000051040000}"/>
    <cellStyle name="Millares 14 2 2 4" xfId="1498" xr:uid="{00000000-0005-0000-0000-000052040000}"/>
    <cellStyle name="Millares 14 2 2 5" xfId="3080" xr:uid="{00000000-0005-0000-0000-000053040000}"/>
    <cellStyle name="Millares 14 2 3" xfId="879" xr:uid="{00000000-0005-0000-0000-000054040000}"/>
    <cellStyle name="Millares 14 2 3 2" xfId="2462" xr:uid="{00000000-0005-0000-0000-000055040000}"/>
    <cellStyle name="Millares 14 2 3 2 2" xfId="4044" xr:uid="{00000000-0005-0000-0000-000056040000}"/>
    <cellStyle name="Millares 14 2 3 3" xfId="1671" xr:uid="{00000000-0005-0000-0000-000057040000}"/>
    <cellStyle name="Millares 14 2 3 4" xfId="3253" xr:uid="{00000000-0005-0000-0000-000058040000}"/>
    <cellStyle name="Millares 14 2 4" xfId="2068" xr:uid="{00000000-0005-0000-0000-000059040000}"/>
    <cellStyle name="Millares 14 2 4 2" xfId="3650" xr:uid="{00000000-0005-0000-0000-00005A040000}"/>
    <cellStyle name="Millares 14 2 5" xfId="1277" xr:uid="{00000000-0005-0000-0000-00005B040000}"/>
    <cellStyle name="Millares 14 2 6" xfId="2859" xr:uid="{00000000-0005-0000-0000-00005C040000}"/>
    <cellStyle name="Millares 14 3" xfId="549" xr:uid="{00000000-0005-0000-0000-00005D040000}"/>
    <cellStyle name="Millares 14 3 2" xfId="956" xr:uid="{00000000-0005-0000-0000-00005E040000}"/>
    <cellStyle name="Millares 14 3 2 2" xfId="2539" xr:uid="{00000000-0005-0000-0000-00005F040000}"/>
    <cellStyle name="Millares 14 3 2 2 2" xfId="4121" xr:uid="{00000000-0005-0000-0000-000060040000}"/>
    <cellStyle name="Millares 14 3 2 3" xfId="1748" xr:uid="{00000000-0005-0000-0000-000061040000}"/>
    <cellStyle name="Millares 14 3 2 4" xfId="3330" xr:uid="{00000000-0005-0000-0000-000062040000}"/>
    <cellStyle name="Millares 14 3 3" xfId="2145" xr:uid="{00000000-0005-0000-0000-000063040000}"/>
    <cellStyle name="Millares 14 3 3 2" xfId="3727" xr:uid="{00000000-0005-0000-0000-000064040000}"/>
    <cellStyle name="Millares 14 3 4" xfId="1354" xr:uid="{00000000-0005-0000-0000-000065040000}"/>
    <cellStyle name="Millares 14 3 5" xfId="2936" xr:uid="{00000000-0005-0000-0000-000066040000}"/>
    <cellStyle name="Millares 14 4" xfId="624" xr:uid="{00000000-0005-0000-0000-000067040000}"/>
    <cellStyle name="Millares 14 4 2" xfId="1024" xr:uid="{00000000-0005-0000-0000-000068040000}"/>
    <cellStyle name="Millares 14 4 2 2" xfId="2607" xr:uid="{00000000-0005-0000-0000-000069040000}"/>
    <cellStyle name="Millares 14 4 2 2 2" xfId="4189" xr:uid="{00000000-0005-0000-0000-00006A040000}"/>
    <cellStyle name="Millares 14 4 2 3" xfId="1816" xr:uid="{00000000-0005-0000-0000-00006B040000}"/>
    <cellStyle name="Millares 14 4 2 4" xfId="3398" xr:uid="{00000000-0005-0000-0000-00006C040000}"/>
    <cellStyle name="Millares 14 4 3" xfId="2213" xr:uid="{00000000-0005-0000-0000-00006D040000}"/>
    <cellStyle name="Millares 14 4 3 2" xfId="3795" xr:uid="{00000000-0005-0000-0000-00006E040000}"/>
    <cellStyle name="Millares 14 4 4" xfId="1422" xr:uid="{00000000-0005-0000-0000-00006F040000}"/>
    <cellStyle name="Millares 14 4 5" xfId="3004" xr:uid="{00000000-0005-0000-0000-000070040000}"/>
    <cellStyle name="Millares 14 5" xfId="803" xr:uid="{00000000-0005-0000-0000-000071040000}"/>
    <cellStyle name="Millares 14 5 2" xfId="2386" xr:uid="{00000000-0005-0000-0000-000072040000}"/>
    <cellStyle name="Millares 14 5 2 2" xfId="3968" xr:uid="{00000000-0005-0000-0000-000073040000}"/>
    <cellStyle name="Millares 14 5 3" xfId="1595" xr:uid="{00000000-0005-0000-0000-000074040000}"/>
    <cellStyle name="Millares 14 5 4" xfId="3177" xr:uid="{00000000-0005-0000-0000-000075040000}"/>
    <cellStyle name="Millares 14 6" xfId="1992" xr:uid="{00000000-0005-0000-0000-000076040000}"/>
    <cellStyle name="Millares 14 6 2" xfId="3574" xr:uid="{00000000-0005-0000-0000-000077040000}"/>
    <cellStyle name="Millares 14 7" xfId="1201" xr:uid="{00000000-0005-0000-0000-000078040000}"/>
    <cellStyle name="Millares 14 8" xfId="2783" xr:uid="{00000000-0005-0000-0000-000079040000}"/>
    <cellStyle name="Millares 14 9" xfId="4638" xr:uid="{7770D4B0-7438-4538-A6F8-DDB6DD2C99D0}"/>
    <cellStyle name="Millares 14 9 2" xfId="5011" xr:uid="{32D9467C-E72F-4503-AD07-007575B38520}"/>
    <cellStyle name="Millares 15" xfId="435" xr:uid="{00000000-0005-0000-0000-00007A040000}"/>
    <cellStyle name="Millares 15 10" xfId="4420" xr:uid="{FF8E8DB2-CD37-424E-BA40-0511D6858873}"/>
    <cellStyle name="Millares 15 2" xfId="511" xr:uid="{00000000-0005-0000-0000-00007B040000}"/>
    <cellStyle name="Millares 15 2 2" xfId="739" xr:uid="{00000000-0005-0000-0000-00007C040000}"/>
    <cellStyle name="Millares 15 2 2 2" xfId="1139" xr:uid="{00000000-0005-0000-0000-00007D040000}"/>
    <cellStyle name="Millares 15 2 2 2 2" xfId="2722" xr:uid="{00000000-0005-0000-0000-00007E040000}"/>
    <cellStyle name="Millares 15 2 2 2 2 2" xfId="4304" xr:uid="{00000000-0005-0000-0000-00007F040000}"/>
    <cellStyle name="Millares 15 2 2 2 3" xfId="1931" xr:uid="{00000000-0005-0000-0000-000080040000}"/>
    <cellStyle name="Millares 15 2 2 2 4" xfId="3513" xr:uid="{00000000-0005-0000-0000-000081040000}"/>
    <cellStyle name="Millares 15 2 2 3" xfId="2328" xr:uid="{00000000-0005-0000-0000-000082040000}"/>
    <cellStyle name="Millares 15 2 2 3 2" xfId="3910" xr:uid="{00000000-0005-0000-0000-000083040000}"/>
    <cellStyle name="Millares 15 2 2 4" xfId="1537" xr:uid="{00000000-0005-0000-0000-000084040000}"/>
    <cellStyle name="Millares 15 2 2 5" xfId="3119" xr:uid="{00000000-0005-0000-0000-000085040000}"/>
    <cellStyle name="Millares 15 2 3" xfId="918" xr:uid="{00000000-0005-0000-0000-000086040000}"/>
    <cellStyle name="Millares 15 2 3 2" xfId="2501" xr:uid="{00000000-0005-0000-0000-000087040000}"/>
    <cellStyle name="Millares 15 2 3 2 2" xfId="4083" xr:uid="{00000000-0005-0000-0000-000088040000}"/>
    <cellStyle name="Millares 15 2 3 3" xfId="1710" xr:uid="{00000000-0005-0000-0000-000089040000}"/>
    <cellStyle name="Millares 15 2 3 4" xfId="3292" xr:uid="{00000000-0005-0000-0000-00008A040000}"/>
    <cellStyle name="Millares 15 2 4" xfId="2107" xr:uid="{00000000-0005-0000-0000-00008B040000}"/>
    <cellStyle name="Millares 15 2 4 2" xfId="3689" xr:uid="{00000000-0005-0000-0000-00008C040000}"/>
    <cellStyle name="Millares 15 2 5" xfId="1316" xr:uid="{00000000-0005-0000-0000-00008D040000}"/>
    <cellStyle name="Millares 15 2 6" xfId="2898" xr:uid="{00000000-0005-0000-0000-00008E040000}"/>
    <cellStyle name="Millares 15 3" xfId="588" xr:uid="{00000000-0005-0000-0000-00008F040000}"/>
    <cellStyle name="Millares 15 3 2" xfId="995" xr:uid="{00000000-0005-0000-0000-000090040000}"/>
    <cellStyle name="Millares 15 3 2 2" xfId="2578" xr:uid="{00000000-0005-0000-0000-000091040000}"/>
    <cellStyle name="Millares 15 3 2 2 2" xfId="4160" xr:uid="{00000000-0005-0000-0000-000092040000}"/>
    <cellStyle name="Millares 15 3 2 3" xfId="1787" xr:uid="{00000000-0005-0000-0000-000093040000}"/>
    <cellStyle name="Millares 15 3 2 4" xfId="3369" xr:uid="{00000000-0005-0000-0000-000094040000}"/>
    <cellStyle name="Millares 15 3 3" xfId="2184" xr:uid="{00000000-0005-0000-0000-000095040000}"/>
    <cellStyle name="Millares 15 3 3 2" xfId="3766" xr:uid="{00000000-0005-0000-0000-000096040000}"/>
    <cellStyle name="Millares 15 3 4" xfId="1393" xr:uid="{00000000-0005-0000-0000-000097040000}"/>
    <cellStyle name="Millares 15 3 5" xfId="2975" xr:uid="{00000000-0005-0000-0000-000098040000}"/>
    <cellStyle name="Millares 15 4" xfId="663" xr:uid="{00000000-0005-0000-0000-000099040000}"/>
    <cellStyle name="Millares 15 4 2" xfId="1063" xr:uid="{00000000-0005-0000-0000-00009A040000}"/>
    <cellStyle name="Millares 15 4 2 2" xfId="2646" xr:uid="{00000000-0005-0000-0000-00009B040000}"/>
    <cellStyle name="Millares 15 4 2 2 2" xfId="4228" xr:uid="{00000000-0005-0000-0000-00009C040000}"/>
    <cellStyle name="Millares 15 4 2 3" xfId="1855" xr:uid="{00000000-0005-0000-0000-00009D040000}"/>
    <cellStyle name="Millares 15 4 2 4" xfId="3437" xr:uid="{00000000-0005-0000-0000-00009E040000}"/>
    <cellStyle name="Millares 15 4 3" xfId="2252" xr:uid="{00000000-0005-0000-0000-00009F040000}"/>
    <cellStyle name="Millares 15 4 3 2" xfId="3834" xr:uid="{00000000-0005-0000-0000-0000A0040000}"/>
    <cellStyle name="Millares 15 4 4" xfId="1461" xr:uid="{00000000-0005-0000-0000-0000A1040000}"/>
    <cellStyle name="Millares 15 4 5" xfId="3043" xr:uid="{00000000-0005-0000-0000-0000A2040000}"/>
    <cellStyle name="Millares 15 5" xfId="842" xr:uid="{00000000-0005-0000-0000-0000A3040000}"/>
    <cellStyle name="Millares 15 5 2" xfId="2425" xr:uid="{00000000-0005-0000-0000-0000A4040000}"/>
    <cellStyle name="Millares 15 5 2 2" xfId="4007" xr:uid="{00000000-0005-0000-0000-0000A5040000}"/>
    <cellStyle name="Millares 15 5 3" xfId="1634" xr:uid="{00000000-0005-0000-0000-0000A6040000}"/>
    <cellStyle name="Millares 15 5 4" xfId="3216" xr:uid="{00000000-0005-0000-0000-0000A7040000}"/>
    <cellStyle name="Millares 15 6" xfId="2031" xr:uid="{00000000-0005-0000-0000-0000A8040000}"/>
    <cellStyle name="Millares 15 6 2" xfId="3613" xr:uid="{00000000-0005-0000-0000-0000A9040000}"/>
    <cellStyle name="Millares 15 7" xfId="1240" xr:uid="{00000000-0005-0000-0000-0000AA040000}"/>
    <cellStyle name="Millares 15 8" xfId="2822" xr:uid="{00000000-0005-0000-0000-0000AB040000}"/>
    <cellStyle name="Millares 15 9" xfId="4652" xr:uid="{76EAEAD9-44A7-4BDB-9893-3B84B7C4272B}"/>
    <cellStyle name="Millares 15 9 2" xfId="5025" xr:uid="{69D92D39-4799-4E06-A97C-8BA813BBA43E}"/>
    <cellStyle name="Millares 16" xfId="369" xr:uid="{00000000-0005-0000-0000-0000AC040000}"/>
    <cellStyle name="Millares 16 10" xfId="4628" xr:uid="{8D66F296-B01E-4AE1-B35A-543F068DCB04}"/>
    <cellStyle name="Millares 16 10 2" xfId="5004" xr:uid="{D8E95B52-AA05-4D1D-925B-ED6D32F920F6}"/>
    <cellStyle name="Millares 16 11" xfId="4391" xr:uid="{14608148-DA5A-41D2-BE3E-850E2AE37F58}"/>
    <cellStyle name="Millares 16 2" xfId="487" xr:uid="{00000000-0005-0000-0000-0000AD040000}"/>
    <cellStyle name="Millares 16 2 2" xfId="715" xr:uid="{00000000-0005-0000-0000-0000AE040000}"/>
    <cellStyle name="Millares 16 2 2 2" xfId="1115" xr:uid="{00000000-0005-0000-0000-0000AF040000}"/>
    <cellStyle name="Millares 16 2 2 2 2" xfId="2698" xr:uid="{00000000-0005-0000-0000-0000B0040000}"/>
    <cellStyle name="Millares 16 2 2 2 2 2" xfId="4280" xr:uid="{00000000-0005-0000-0000-0000B1040000}"/>
    <cellStyle name="Millares 16 2 2 2 3" xfId="1907" xr:uid="{00000000-0005-0000-0000-0000B2040000}"/>
    <cellStyle name="Millares 16 2 2 2 4" xfId="3489" xr:uid="{00000000-0005-0000-0000-0000B3040000}"/>
    <cellStyle name="Millares 16 2 2 2 5" xfId="4568" xr:uid="{0E1B538D-479D-4F31-A94D-9ECB28C9138C}"/>
    <cellStyle name="Millares 16 2 2 2 6" xfId="4468" xr:uid="{B834CF4C-6811-4C07-B85E-C1E2F984E36F}"/>
    <cellStyle name="Millares 16 2 2 3" xfId="2304" xr:uid="{00000000-0005-0000-0000-0000B4040000}"/>
    <cellStyle name="Millares 16 2 2 3 2" xfId="3886" xr:uid="{00000000-0005-0000-0000-0000B5040000}"/>
    <cellStyle name="Millares 16 2 2 4" xfId="1513" xr:uid="{00000000-0005-0000-0000-0000B6040000}"/>
    <cellStyle name="Millares 16 2 2 5" xfId="3095" xr:uid="{00000000-0005-0000-0000-0000B7040000}"/>
    <cellStyle name="Millares 16 2 2 6" xfId="4569" xr:uid="{269A4DD7-500E-4656-8359-736C54338EC3}"/>
    <cellStyle name="Millares 16 2 2 7" xfId="4442" xr:uid="{40BEE368-C203-4ED8-9A9F-96C18D2C1BC3}"/>
    <cellStyle name="Millares 16 2 3" xfId="894" xr:uid="{00000000-0005-0000-0000-0000B8040000}"/>
    <cellStyle name="Millares 16 2 3 2" xfId="2477" xr:uid="{00000000-0005-0000-0000-0000B9040000}"/>
    <cellStyle name="Millares 16 2 3 2 2" xfId="4059" xr:uid="{00000000-0005-0000-0000-0000BA040000}"/>
    <cellStyle name="Millares 16 2 3 3" xfId="1686" xr:uid="{00000000-0005-0000-0000-0000BB040000}"/>
    <cellStyle name="Millares 16 2 3 4" xfId="3268" xr:uid="{00000000-0005-0000-0000-0000BC040000}"/>
    <cellStyle name="Millares 16 2 4" xfId="2083" xr:uid="{00000000-0005-0000-0000-0000BD040000}"/>
    <cellStyle name="Millares 16 2 4 2" xfId="3665" xr:uid="{00000000-0005-0000-0000-0000BE040000}"/>
    <cellStyle name="Millares 16 2 5" xfId="1292" xr:uid="{00000000-0005-0000-0000-0000BF040000}"/>
    <cellStyle name="Millares 16 2 6" xfId="2874" xr:uid="{00000000-0005-0000-0000-0000C0040000}"/>
    <cellStyle name="Millares 16 2 7" xfId="4570" xr:uid="{E3779DDA-AE74-4FED-A64C-8D8E8ACA537C}"/>
    <cellStyle name="Millares 16 2 8" xfId="4650" xr:uid="{04097B6A-7FBF-43C2-850E-E0D5AF64DC2F}"/>
    <cellStyle name="Millares 16 2 8 2" xfId="5023" xr:uid="{1FDD74C4-DA19-44B2-8807-6C9B4B04B624}"/>
    <cellStyle name="Millares 16 2 9" xfId="4418" xr:uid="{BB2BCC30-5E5E-424F-89E3-7372FFB60D75}"/>
    <cellStyle name="Millares 16 3" xfId="564" xr:uid="{00000000-0005-0000-0000-0000C1040000}"/>
    <cellStyle name="Millares 16 3 2" xfId="971" xr:uid="{00000000-0005-0000-0000-0000C2040000}"/>
    <cellStyle name="Millares 16 3 2 2" xfId="2554" xr:uid="{00000000-0005-0000-0000-0000C3040000}"/>
    <cellStyle name="Millares 16 3 2 2 2" xfId="4136" xr:uid="{00000000-0005-0000-0000-0000C4040000}"/>
    <cellStyle name="Millares 16 3 2 3" xfId="1763" xr:uid="{00000000-0005-0000-0000-0000C5040000}"/>
    <cellStyle name="Millares 16 3 2 4" xfId="3345" xr:uid="{00000000-0005-0000-0000-0000C6040000}"/>
    <cellStyle name="Millares 16 3 2 5" xfId="4571" xr:uid="{8DEDF3A1-0FA7-43D0-8DE3-4B723B9C68BA}"/>
    <cellStyle name="Millares 16 3 2 6" xfId="4461" xr:uid="{15CE6F74-57B6-4C07-8546-F9330A0B445D}"/>
    <cellStyle name="Millares 16 3 3" xfId="2160" xr:uid="{00000000-0005-0000-0000-0000C7040000}"/>
    <cellStyle name="Millares 16 3 3 2" xfId="3742" xr:uid="{00000000-0005-0000-0000-0000C8040000}"/>
    <cellStyle name="Millares 16 3 4" xfId="1369" xr:uid="{00000000-0005-0000-0000-0000C9040000}"/>
    <cellStyle name="Millares 16 3 5" xfId="2951" xr:uid="{00000000-0005-0000-0000-0000CA040000}"/>
    <cellStyle name="Millares 16 3 6" xfId="4572" xr:uid="{4A31FEE8-025A-4FF3-9BDF-F56023A4C559}"/>
    <cellStyle name="Millares 16 3 7" xfId="4433" xr:uid="{0F4673A2-D973-4D5D-B869-7F65B5C5E811}"/>
    <cellStyle name="Millares 16 4" xfId="639" xr:uid="{00000000-0005-0000-0000-0000CB040000}"/>
    <cellStyle name="Millares 16 4 2" xfId="1039" xr:uid="{00000000-0005-0000-0000-0000CC040000}"/>
    <cellStyle name="Millares 16 4 2 2" xfId="2622" xr:uid="{00000000-0005-0000-0000-0000CD040000}"/>
    <cellStyle name="Millares 16 4 2 2 2" xfId="4204" xr:uid="{00000000-0005-0000-0000-0000CE040000}"/>
    <cellStyle name="Millares 16 4 2 3" xfId="1831" xr:uid="{00000000-0005-0000-0000-0000CF040000}"/>
    <cellStyle name="Millares 16 4 2 4" xfId="3413" xr:uid="{00000000-0005-0000-0000-0000D0040000}"/>
    <cellStyle name="Millares 16 4 3" xfId="2228" xr:uid="{00000000-0005-0000-0000-0000D1040000}"/>
    <cellStyle name="Millares 16 4 3 2" xfId="3810" xr:uid="{00000000-0005-0000-0000-0000D2040000}"/>
    <cellStyle name="Millares 16 4 4" xfId="1437" xr:uid="{00000000-0005-0000-0000-0000D3040000}"/>
    <cellStyle name="Millares 16 4 5" xfId="3019" xr:uid="{00000000-0005-0000-0000-0000D4040000}"/>
    <cellStyle name="Millares 16 5" xfId="818" xr:uid="{00000000-0005-0000-0000-0000D5040000}"/>
    <cellStyle name="Millares 16 5 2" xfId="2401" xr:uid="{00000000-0005-0000-0000-0000D6040000}"/>
    <cellStyle name="Millares 16 5 2 2" xfId="3983" xr:uid="{00000000-0005-0000-0000-0000D7040000}"/>
    <cellStyle name="Millares 16 5 3" xfId="1610" xr:uid="{00000000-0005-0000-0000-0000D8040000}"/>
    <cellStyle name="Millares 16 5 4" xfId="3192" xr:uid="{00000000-0005-0000-0000-0000D9040000}"/>
    <cellStyle name="Millares 16 6" xfId="2007" xr:uid="{00000000-0005-0000-0000-0000DA040000}"/>
    <cellStyle name="Millares 16 6 2" xfId="3589" xr:uid="{00000000-0005-0000-0000-0000DB040000}"/>
    <cellStyle name="Millares 16 7" xfId="1216" xr:uid="{00000000-0005-0000-0000-0000DC040000}"/>
    <cellStyle name="Millares 16 8" xfId="2798" xr:uid="{00000000-0005-0000-0000-0000DD040000}"/>
    <cellStyle name="Millares 16 9" xfId="4573" xr:uid="{6A1608C1-5F1F-43E1-924D-7D757F6C3AF2}"/>
    <cellStyle name="Millares 17" xfId="353" xr:uid="{00000000-0005-0000-0000-0000DE040000}"/>
    <cellStyle name="Millares 17 10" xfId="4413" xr:uid="{253C0ACB-CC17-4FA4-BE1B-2028A6D65899}"/>
    <cellStyle name="Millares 17 2" xfId="474" xr:uid="{00000000-0005-0000-0000-0000DF040000}"/>
    <cellStyle name="Millares 17 2 2" xfId="702" xr:uid="{00000000-0005-0000-0000-0000E0040000}"/>
    <cellStyle name="Millares 17 2 2 2" xfId="1102" xr:uid="{00000000-0005-0000-0000-0000E1040000}"/>
    <cellStyle name="Millares 17 2 2 2 2" xfId="2685" xr:uid="{00000000-0005-0000-0000-0000E2040000}"/>
    <cellStyle name="Millares 17 2 2 2 2 2" xfId="4267" xr:uid="{00000000-0005-0000-0000-0000E3040000}"/>
    <cellStyle name="Millares 17 2 2 2 3" xfId="1894" xr:uid="{00000000-0005-0000-0000-0000E4040000}"/>
    <cellStyle name="Millares 17 2 2 2 4" xfId="3476" xr:uid="{00000000-0005-0000-0000-0000E5040000}"/>
    <cellStyle name="Millares 17 2 2 3" xfId="2291" xr:uid="{00000000-0005-0000-0000-0000E6040000}"/>
    <cellStyle name="Millares 17 2 2 3 2" xfId="3873" xr:uid="{00000000-0005-0000-0000-0000E7040000}"/>
    <cellStyle name="Millares 17 2 2 4" xfId="1500" xr:uid="{00000000-0005-0000-0000-0000E8040000}"/>
    <cellStyle name="Millares 17 2 2 5" xfId="3082" xr:uid="{00000000-0005-0000-0000-0000E9040000}"/>
    <cellStyle name="Millares 17 2 3" xfId="881" xr:uid="{00000000-0005-0000-0000-0000EA040000}"/>
    <cellStyle name="Millares 17 2 3 2" xfId="2464" xr:uid="{00000000-0005-0000-0000-0000EB040000}"/>
    <cellStyle name="Millares 17 2 3 2 2" xfId="4046" xr:uid="{00000000-0005-0000-0000-0000EC040000}"/>
    <cellStyle name="Millares 17 2 3 3" xfId="1673" xr:uid="{00000000-0005-0000-0000-0000ED040000}"/>
    <cellStyle name="Millares 17 2 3 4" xfId="3255" xr:uid="{00000000-0005-0000-0000-0000EE040000}"/>
    <cellStyle name="Millares 17 2 4" xfId="2070" xr:uid="{00000000-0005-0000-0000-0000EF040000}"/>
    <cellStyle name="Millares 17 2 4 2" xfId="3652" xr:uid="{00000000-0005-0000-0000-0000F0040000}"/>
    <cellStyle name="Millares 17 2 5" xfId="1279" xr:uid="{00000000-0005-0000-0000-0000F1040000}"/>
    <cellStyle name="Millares 17 2 6" xfId="2861" xr:uid="{00000000-0005-0000-0000-0000F2040000}"/>
    <cellStyle name="Millares 17 3" xfId="551" xr:uid="{00000000-0005-0000-0000-0000F3040000}"/>
    <cellStyle name="Millares 17 3 2" xfId="958" xr:uid="{00000000-0005-0000-0000-0000F4040000}"/>
    <cellStyle name="Millares 17 3 2 2" xfId="2541" xr:uid="{00000000-0005-0000-0000-0000F5040000}"/>
    <cellStyle name="Millares 17 3 2 2 2" xfId="4123" xr:uid="{00000000-0005-0000-0000-0000F6040000}"/>
    <cellStyle name="Millares 17 3 2 3" xfId="1750" xr:uid="{00000000-0005-0000-0000-0000F7040000}"/>
    <cellStyle name="Millares 17 3 2 4" xfId="3332" xr:uid="{00000000-0005-0000-0000-0000F8040000}"/>
    <cellStyle name="Millares 17 3 3" xfId="2147" xr:uid="{00000000-0005-0000-0000-0000F9040000}"/>
    <cellStyle name="Millares 17 3 3 2" xfId="3729" xr:uid="{00000000-0005-0000-0000-0000FA040000}"/>
    <cellStyle name="Millares 17 3 4" xfId="1356" xr:uid="{00000000-0005-0000-0000-0000FB040000}"/>
    <cellStyle name="Millares 17 3 5" xfId="2938" xr:uid="{00000000-0005-0000-0000-0000FC040000}"/>
    <cellStyle name="Millares 17 4" xfId="626" xr:uid="{00000000-0005-0000-0000-0000FD040000}"/>
    <cellStyle name="Millares 17 4 2" xfId="1026" xr:uid="{00000000-0005-0000-0000-0000FE040000}"/>
    <cellStyle name="Millares 17 4 2 2" xfId="2609" xr:uid="{00000000-0005-0000-0000-0000FF040000}"/>
    <cellStyle name="Millares 17 4 2 2 2" xfId="4191" xr:uid="{00000000-0005-0000-0000-000000050000}"/>
    <cellStyle name="Millares 17 4 2 3" xfId="1818" xr:uid="{00000000-0005-0000-0000-000001050000}"/>
    <cellStyle name="Millares 17 4 2 4" xfId="3400" xr:uid="{00000000-0005-0000-0000-000002050000}"/>
    <cellStyle name="Millares 17 4 3" xfId="2215" xr:uid="{00000000-0005-0000-0000-000003050000}"/>
    <cellStyle name="Millares 17 4 3 2" xfId="3797" xr:uid="{00000000-0005-0000-0000-000004050000}"/>
    <cellStyle name="Millares 17 4 4" xfId="1424" xr:uid="{00000000-0005-0000-0000-000005050000}"/>
    <cellStyle name="Millares 17 4 5" xfId="3006" xr:uid="{00000000-0005-0000-0000-000006050000}"/>
    <cellStyle name="Millares 17 5" xfId="805" xr:uid="{00000000-0005-0000-0000-000007050000}"/>
    <cellStyle name="Millares 17 5 2" xfId="2388" xr:uid="{00000000-0005-0000-0000-000008050000}"/>
    <cellStyle name="Millares 17 5 2 2" xfId="3970" xr:uid="{00000000-0005-0000-0000-000009050000}"/>
    <cellStyle name="Millares 17 5 3" xfId="1597" xr:uid="{00000000-0005-0000-0000-00000A050000}"/>
    <cellStyle name="Millares 17 5 4" xfId="3179" xr:uid="{00000000-0005-0000-0000-00000B050000}"/>
    <cellStyle name="Millares 17 6" xfId="1994" xr:uid="{00000000-0005-0000-0000-00000C050000}"/>
    <cellStyle name="Millares 17 6 2" xfId="3576" xr:uid="{00000000-0005-0000-0000-00000D050000}"/>
    <cellStyle name="Millares 17 7" xfId="1203" xr:uid="{00000000-0005-0000-0000-00000E050000}"/>
    <cellStyle name="Millares 17 8" xfId="2785" xr:uid="{00000000-0005-0000-0000-00000F050000}"/>
    <cellStyle name="Millares 17 9" xfId="4646" xr:uid="{DF564CA2-CCD5-441D-A7B5-99A4BFBEBC3B}"/>
    <cellStyle name="Millares 17 9 2" xfId="5019" xr:uid="{44B20992-4F10-4EC6-B338-53E88A0CA2C0}"/>
    <cellStyle name="Millares 18" xfId="432" xr:uid="{00000000-0005-0000-0000-000010050000}"/>
    <cellStyle name="Millares 18 10" xfId="4425" xr:uid="{4DF36861-8E52-4C44-B155-150549510380}"/>
    <cellStyle name="Millares 18 2" xfId="508" xr:uid="{00000000-0005-0000-0000-000011050000}"/>
    <cellStyle name="Millares 18 2 2" xfId="736" xr:uid="{00000000-0005-0000-0000-000012050000}"/>
    <cellStyle name="Millares 18 2 2 2" xfId="1136" xr:uid="{00000000-0005-0000-0000-000013050000}"/>
    <cellStyle name="Millares 18 2 2 2 2" xfId="2719" xr:uid="{00000000-0005-0000-0000-000014050000}"/>
    <cellStyle name="Millares 18 2 2 2 2 2" xfId="4301" xr:uid="{00000000-0005-0000-0000-000015050000}"/>
    <cellStyle name="Millares 18 2 2 2 3" xfId="1928" xr:uid="{00000000-0005-0000-0000-000016050000}"/>
    <cellStyle name="Millares 18 2 2 2 4" xfId="3510" xr:uid="{00000000-0005-0000-0000-000017050000}"/>
    <cellStyle name="Millares 18 2 2 3" xfId="2325" xr:uid="{00000000-0005-0000-0000-000018050000}"/>
    <cellStyle name="Millares 18 2 2 3 2" xfId="3907" xr:uid="{00000000-0005-0000-0000-000019050000}"/>
    <cellStyle name="Millares 18 2 2 4" xfId="1534" xr:uid="{00000000-0005-0000-0000-00001A050000}"/>
    <cellStyle name="Millares 18 2 2 5" xfId="3116" xr:uid="{00000000-0005-0000-0000-00001B050000}"/>
    <cellStyle name="Millares 18 2 3" xfId="915" xr:uid="{00000000-0005-0000-0000-00001C050000}"/>
    <cellStyle name="Millares 18 2 3 2" xfId="2498" xr:uid="{00000000-0005-0000-0000-00001D050000}"/>
    <cellStyle name="Millares 18 2 3 2 2" xfId="4080" xr:uid="{00000000-0005-0000-0000-00001E050000}"/>
    <cellStyle name="Millares 18 2 3 3" xfId="1707" xr:uid="{00000000-0005-0000-0000-00001F050000}"/>
    <cellStyle name="Millares 18 2 3 4" xfId="3289" xr:uid="{00000000-0005-0000-0000-000020050000}"/>
    <cellStyle name="Millares 18 2 4" xfId="2104" xr:uid="{00000000-0005-0000-0000-000021050000}"/>
    <cellStyle name="Millares 18 2 4 2" xfId="3686" xr:uid="{00000000-0005-0000-0000-000022050000}"/>
    <cellStyle name="Millares 18 2 5" xfId="1313" xr:uid="{00000000-0005-0000-0000-000023050000}"/>
    <cellStyle name="Millares 18 2 6" xfId="2895" xr:uid="{00000000-0005-0000-0000-000024050000}"/>
    <cellStyle name="Millares 18 3" xfId="585" xr:uid="{00000000-0005-0000-0000-000025050000}"/>
    <cellStyle name="Millares 18 3 2" xfId="992" xr:uid="{00000000-0005-0000-0000-000026050000}"/>
    <cellStyle name="Millares 18 3 2 2" xfId="2575" xr:uid="{00000000-0005-0000-0000-000027050000}"/>
    <cellStyle name="Millares 18 3 2 2 2" xfId="4157" xr:uid="{00000000-0005-0000-0000-000028050000}"/>
    <cellStyle name="Millares 18 3 2 3" xfId="1784" xr:uid="{00000000-0005-0000-0000-000029050000}"/>
    <cellStyle name="Millares 18 3 2 4" xfId="3366" xr:uid="{00000000-0005-0000-0000-00002A050000}"/>
    <cellStyle name="Millares 18 3 3" xfId="2181" xr:uid="{00000000-0005-0000-0000-00002B050000}"/>
    <cellStyle name="Millares 18 3 3 2" xfId="3763" xr:uid="{00000000-0005-0000-0000-00002C050000}"/>
    <cellStyle name="Millares 18 3 4" xfId="1390" xr:uid="{00000000-0005-0000-0000-00002D050000}"/>
    <cellStyle name="Millares 18 3 5" xfId="2972" xr:uid="{00000000-0005-0000-0000-00002E050000}"/>
    <cellStyle name="Millares 18 4" xfId="660" xr:uid="{00000000-0005-0000-0000-00002F050000}"/>
    <cellStyle name="Millares 18 4 2" xfId="1060" xr:uid="{00000000-0005-0000-0000-000030050000}"/>
    <cellStyle name="Millares 18 4 2 2" xfId="2643" xr:uid="{00000000-0005-0000-0000-000031050000}"/>
    <cellStyle name="Millares 18 4 2 2 2" xfId="4225" xr:uid="{00000000-0005-0000-0000-000032050000}"/>
    <cellStyle name="Millares 18 4 2 3" xfId="1852" xr:uid="{00000000-0005-0000-0000-000033050000}"/>
    <cellStyle name="Millares 18 4 2 4" xfId="3434" xr:uid="{00000000-0005-0000-0000-000034050000}"/>
    <cellStyle name="Millares 18 4 3" xfId="2249" xr:uid="{00000000-0005-0000-0000-000035050000}"/>
    <cellStyle name="Millares 18 4 3 2" xfId="3831" xr:uid="{00000000-0005-0000-0000-000036050000}"/>
    <cellStyle name="Millares 18 4 4" xfId="1458" xr:uid="{00000000-0005-0000-0000-000037050000}"/>
    <cellStyle name="Millares 18 4 5" xfId="3040" xr:uid="{00000000-0005-0000-0000-000038050000}"/>
    <cellStyle name="Millares 18 5" xfId="839" xr:uid="{00000000-0005-0000-0000-000039050000}"/>
    <cellStyle name="Millares 18 5 2" xfId="2422" xr:uid="{00000000-0005-0000-0000-00003A050000}"/>
    <cellStyle name="Millares 18 5 2 2" xfId="4004" xr:uid="{00000000-0005-0000-0000-00003B050000}"/>
    <cellStyle name="Millares 18 5 3" xfId="1631" xr:uid="{00000000-0005-0000-0000-00003C050000}"/>
    <cellStyle name="Millares 18 5 4" xfId="3213" xr:uid="{00000000-0005-0000-0000-00003D050000}"/>
    <cellStyle name="Millares 18 6" xfId="2028" xr:uid="{00000000-0005-0000-0000-00003E050000}"/>
    <cellStyle name="Millares 18 6 2" xfId="3610" xr:uid="{00000000-0005-0000-0000-00003F050000}"/>
    <cellStyle name="Millares 18 7" xfId="1237" xr:uid="{00000000-0005-0000-0000-000040050000}"/>
    <cellStyle name="Millares 18 8" xfId="2819" xr:uid="{00000000-0005-0000-0000-000041050000}"/>
    <cellStyle name="Millares 18 9" xfId="4656" xr:uid="{0BC4C682-D516-4915-A008-970D06D219DE}"/>
    <cellStyle name="Millares 18 9 2" xfId="5028" xr:uid="{CC8E614B-D6DF-402A-B2B0-12ABC150FD50}"/>
    <cellStyle name="Millares 19" xfId="366" xr:uid="{00000000-0005-0000-0000-000042050000}"/>
    <cellStyle name="Millares 19 10" xfId="4397" xr:uid="{0DA6B6A2-4BAB-45CC-AB12-174361DBD708}"/>
    <cellStyle name="Millares 19 2" xfId="484" xr:uid="{00000000-0005-0000-0000-000043050000}"/>
    <cellStyle name="Millares 19 2 2" xfId="712" xr:uid="{00000000-0005-0000-0000-000044050000}"/>
    <cellStyle name="Millares 19 2 2 2" xfId="1112" xr:uid="{00000000-0005-0000-0000-000045050000}"/>
    <cellStyle name="Millares 19 2 2 2 2" xfId="2695" xr:uid="{00000000-0005-0000-0000-000046050000}"/>
    <cellStyle name="Millares 19 2 2 2 2 2" xfId="4277" xr:uid="{00000000-0005-0000-0000-000047050000}"/>
    <cellStyle name="Millares 19 2 2 2 3" xfId="1904" xr:uid="{00000000-0005-0000-0000-000048050000}"/>
    <cellStyle name="Millares 19 2 2 2 4" xfId="3486" xr:uid="{00000000-0005-0000-0000-000049050000}"/>
    <cellStyle name="Millares 19 2 2 3" xfId="2301" xr:uid="{00000000-0005-0000-0000-00004A050000}"/>
    <cellStyle name="Millares 19 2 2 3 2" xfId="3883" xr:uid="{00000000-0005-0000-0000-00004B050000}"/>
    <cellStyle name="Millares 19 2 2 4" xfId="1510" xr:uid="{00000000-0005-0000-0000-00004C050000}"/>
    <cellStyle name="Millares 19 2 2 5" xfId="3092" xr:uid="{00000000-0005-0000-0000-00004D050000}"/>
    <cellStyle name="Millares 19 2 3" xfId="891" xr:uid="{00000000-0005-0000-0000-00004E050000}"/>
    <cellStyle name="Millares 19 2 3 2" xfId="2474" xr:uid="{00000000-0005-0000-0000-00004F050000}"/>
    <cellStyle name="Millares 19 2 3 2 2" xfId="4056" xr:uid="{00000000-0005-0000-0000-000050050000}"/>
    <cellStyle name="Millares 19 2 3 3" xfId="1683" xr:uid="{00000000-0005-0000-0000-000051050000}"/>
    <cellStyle name="Millares 19 2 3 4" xfId="3265" xr:uid="{00000000-0005-0000-0000-000052050000}"/>
    <cellStyle name="Millares 19 2 4" xfId="2080" xr:uid="{00000000-0005-0000-0000-000053050000}"/>
    <cellStyle name="Millares 19 2 4 2" xfId="3662" xr:uid="{00000000-0005-0000-0000-000054050000}"/>
    <cellStyle name="Millares 19 2 5" xfId="1289" xr:uid="{00000000-0005-0000-0000-000055050000}"/>
    <cellStyle name="Millares 19 2 6" xfId="2871" xr:uid="{00000000-0005-0000-0000-000056050000}"/>
    <cellStyle name="Millares 19 3" xfId="561" xr:uid="{00000000-0005-0000-0000-000057050000}"/>
    <cellStyle name="Millares 19 3 2" xfId="968" xr:uid="{00000000-0005-0000-0000-000058050000}"/>
    <cellStyle name="Millares 19 3 2 2" xfId="2551" xr:uid="{00000000-0005-0000-0000-000059050000}"/>
    <cellStyle name="Millares 19 3 2 2 2" xfId="4133" xr:uid="{00000000-0005-0000-0000-00005A050000}"/>
    <cellStyle name="Millares 19 3 2 3" xfId="1760" xr:uid="{00000000-0005-0000-0000-00005B050000}"/>
    <cellStyle name="Millares 19 3 2 4" xfId="3342" xr:uid="{00000000-0005-0000-0000-00005C050000}"/>
    <cellStyle name="Millares 19 3 3" xfId="2157" xr:uid="{00000000-0005-0000-0000-00005D050000}"/>
    <cellStyle name="Millares 19 3 3 2" xfId="3739" xr:uid="{00000000-0005-0000-0000-00005E050000}"/>
    <cellStyle name="Millares 19 3 4" xfId="1366" xr:uid="{00000000-0005-0000-0000-00005F050000}"/>
    <cellStyle name="Millares 19 3 5" xfId="2948" xr:uid="{00000000-0005-0000-0000-000060050000}"/>
    <cellStyle name="Millares 19 4" xfId="636" xr:uid="{00000000-0005-0000-0000-000061050000}"/>
    <cellStyle name="Millares 19 4 2" xfId="1036" xr:uid="{00000000-0005-0000-0000-000062050000}"/>
    <cellStyle name="Millares 19 4 2 2" xfId="2619" xr:uid="{00000000-0005-0000-0000-000063050000}"/>
    <cellStyle name="Millares 19 4 2 2 2" xfId="4201" xr:uid="{00000000-0005-0000-0000-000064050000}"/>
    <cellStyle name="Millares 19 4 2 3" xfId="1828" xr:uid="{00000000-0005-0000-0000-000065050000}"/>
    <cellStyle name="Millares 19 4 2 4" xfId="3410" xr:uid="{00000000-0005-0000-0000-000066050000}"/>
    <cellStyle name="Millares 19 4 3" xfId="2225" xr:uid="{00000000-0005-0000-0000-000067050000}"/>
    <cellStyle name="Millares 19 4 3 2" xfId="3807" xr:uid="{00000000-0005-0000-0000-000068050000}"/>
    <cellStyle name="Millares 19 4 4" xfId="1434" xr:uid="{00000000-0005-0000-0000-000069050000}"/>
    <cellStyle name="Millares 19 4 5" xfId="3016" xr:uid="{00000000-0005-0000-0000-00006A050000}"/>
    <cellStyle name="Millares 19 5" xfId="815" xr:uid="{00000000-0005-0000-0000-00006B050000}"/>
    <cellStyle name="Millares 19 5 2" xfId="2398" xr:uid="{00000000-0005-0000-0000-00006C050000}"/>
    <cellStyle name="Millares 19 5 2 2" xfId="3980" xr:uid="{00000000-0005-0000-0000-00006D050000}"/>
    <cellStyle name="Millares 19 5 3" xfId="1607" xr:uid="{00000000-0005-0000-0000-00006E050000}"/>
    <cellStyle name="Millares 19 5 4" xfId="3189" xr:uid="{00000000-0005-0000-0000-00006F050000}"/>
    <cellStyle name="Millares 19 6" xfId="2004" xr:uid="{00000000-0005-0000-0000-000070050000}"/>
    <cellStyle name="Millares 19 6 2" xfId="3586" xr:uid="{00000000-0005-0000-0000-000071050000}"/>
    <cellStyle name="Millares 19 7" xfId="1213" xr:uid="{00000000-0005-0000-0000-000072050000}"/>
    <cellStyle name="Millares 19 8" xfId="2795" xr:uid="{00000000-0005-0000-0000-000073050000}"/>
    <cellStyle name="Millares 19 9" xfId="4631" xr:uid="{9E38764F-A18F-4B9D-9569-E93FDBAA03F6}"/>
    <cellStyle name="Millares 19 9 2" xfId="5007" xr:uid="{8B81E9A7-7FE2-4915-8A36-F7218D559194}"/>
    <cellStyle name="Millares 2" xfId="11" xr:uid="{00000000-0005-0000-0000-000074050000}"/>
    <cellStyle name="Millares 2 2" xfId="290" xr:uid="{00000000-0005-0000-0000-000075050000}"/>
    <cellStyle name="Millares 2 2 2" xfId="21" xr:uid="{00000000-0005-0000-0000-000076050000}"/>
    <cellStyle name="Millares 2 2 2 2" xfId="341" xr:uid="{00000000-0005-0000-0000-000077050000}"/>
    <cellStyle name="Millares 2 2 2 2 2" xfId="427" xr:uid="{00000000-0005-0000-0000-000078050000}"/>
    <cellStyle name="Millares 2 2 2 2 2 2" xfId="4464" xr:uid="{1F44A6D0-519D-4A33-BF7F-E6C5A16A4719}"/>
    <cellStyle name="Millares 2 2 2 2 2 3" xfId="4574" xr:uid="{351C7F2E-DEDE-4030-81C5-200798C08904}"/>
    <cellStyle name="Millares 2 2 2 2 2 3 2" xfId="4769" xr:uid="{0E73727A-DC4D-4652-86ED-DFAB461731CE}"/>
    <cellStyle name="Millares 2 2 2 2 2 3 2 2" xfId="5082" xr:uid="{594E832B-EFAA-45D0-91FD-5967CACAF252}"/>
    <cellStyle name="Millares 2 2 2 2 2 3 3" xfId="4876" xr:uid="{FC9FD5E4-2D4C-4867-808F-778981CA17AF}"/>
    <cellStyle name="Millares 2 2 2 2 2 3 3 2" xfId="5161" xr:uid="{2F03ADCA-6EBE-47A1-A36B-3066CC45BA70}"/>
    <cellStyle name="Millares 2 2 2 2 2 3 4" xfId="4967" xr:uid="{D2F9C919-81DB-4ADE-AB55-75CCE574816E}"/>
    <cellStyle name="Millares 2 2 2 2 2 4" xfId="4439" xr:uid="{CA2D0BA0-75C1-42C5-B468-E791D7FA5CEA}"/>
    <cellStyle name="Millares 2 2 2 2 3" xfId="4575" xr:uid="{460FCC32-07C8-4B94-B465-4ADE5780D5EB}"/>
    <cellStyle name="Millares 2 2 2 2 3 2" xfId="4770" xr:uid="{0BB32C56-A9F0-4832-8B0B-A610901FED7F}"/>
    <cellStyle name="Millares 2 2 2 2 3 2 2" xfId="5083" xr:uid="{92829E6C-7DC9-4E1F-BF4C-B1C27B3ECF43}"/>
    <cellStyle name="Millares 2 2 2 2 3 3" xfId="4877" xr:uid="{8D932BAE-4E6C-460E-BB61-31754937E8C1}"/>
    <cellStyle name="Millares 2 2 2 2 3 3 2" xfId="5162" xr:uid="{0AF007BD-3011-4BAE-AAE6-C86D82D84E38}"/>
    <cellStyle name="Millares 2 2 2 2 3 4" xfId="4968" xr:uid="{89882049-02C3-4D03-BB12-9010164E15DC}"/>
    <cellStyle name="Millares 2 2 2 2 4" xfId="4644" xr:uid="{16C1A38C-6596-41C0-9DEE-50EAD8B53C4E}"/>
    <cellStyle name="Millares 2 2 2 2 4 2" xfId="5017" xr:uid="{9DC864C1-4405-45FD-AC48-9028D176234D}"/>
    <cellStyle name="Millares 2 2 2 2 5" xfId="4410" xr:uid="{5AD825F6-DB28-4F3F-A325-55E7A84CC145}"/>
    <cellStyle name="Millares 2 2 2 3" xfId="412" xr:uid="{00000000-0005-0000-0000-000079050000}"/>
    <cellStyle name="Millares 2 2 2 3 2" xfId="4457" xr:uid="{A5DCE15D-E88D-499C-A0A7-752C449D0D78}"/>
    <cellStyle name="Millares 2 2 2 3 3" xfId="4576" xr:uid="{F0B085B3-182F-4635-B89C-52E119CC3507}"/>
    <cellStyle name="Millares 2 2 2 3 3 2" xfId="4771" xr:uid="{40FFB65F-7F90-4117-A5DA-C47D347C3560}"/>
    <cellStyle name="Millares 2 2 2 3 3 2 2" xfId="5084" xr:uid="{247F3F8D-723D-4D13-8708-0CE3FEBA1FB9}"/>
    <cellStyle name="Millares 2 2 2 3 3 3" xfId="4878" xr:uid="{E0402F2C-6883-4BC0-A2DC-D1B868C44EAB}"/>
    <cellStyle name="Millares 2 2 2 3 3 3 2" xfId="5163" xr:uid="{EA4C2258-2FA9-45CF-AA3A-09B41F535DC4}"/>
    <cellStyle name="Millares 2 2 2 3 3 4" xfId="4969" xr:uid="{BF8E54A5-BDAD-4183-85C2-EED122DC7610}"/>
    <cellStyle name="Millares 2 2 2 3 4" xfId="4428" xr:uid="{AC65F85B-3FA9-4CE6-AC5B-FD10DDA57892}"/>
    <cellStyle name="Millares 2 2 2 4" xfId="326" xr:uid="{00000000-0005-0000-0000-00007A050000}"/>
    <cellStyle name="Millares 2 2 2 4 2" xfId="4772" xr:uid="{9059C05F-6032-4FAD-8D2A-9FED1F06B4DD}"/>
    <cellStyle name="Millares 2 2 2 4 2 2" xfId="5085" xr:uid="{888BC42A-C535-4DB8-8FD7-B5BB9E66A4FB}"/>
    <cellStyle name="Millares 2 2 2 4 3" xfId="4879" xr:uid="{5D47A8E1-CBAE-4100-922C-48F895F787AB}"/>
    <cellStyle name="Millares 2 2 2 4 3 2" xfId="5164" xr:uid="{C7B165B8-BFF0-4737-8783-7C438CC8523C}"/>
    <cellStyle name="Millares 2 2 2 4 4" xfId="4577" xr:uid="{CBD73CE2-84A5-4E3F-9766-AF4950925B18}"/>
    <cellStyle name="Millares 2 2 2 4 5" xfId="4970" xr:uid="{AA0475D9-5B18-4ADA-B41F-94B40F06CCB9}"/>
    <cellStyle name="Millares 2 2 2 5" xfId="4617" xr:uid="{56187D43-2DED-4FEF-A07B-157BB7FEA778}"/>
    <cellStyle name="Millares 2 2 2 5 2" xfId="4994" xr:uid="{ED33DF47-3206-4381-85CE-48C9964B3D47}"/>
    <cellStyle name="Millares 2 2 2 6" xfId="4375" xr:uid="{00E18F92-D6DF-4EC7-90AE-EC1D54B4D2A2}"/>
    <cellStyle name="Millares 2 2 3" xfId="333" xr:uid="{00000000-0005-0000-0000-00007B050000}"/>
    <cellStyle name="Millares 2 2 3 2" xfId="419" xr:uid="{00000000-0005-0000-0000-00007C050000}"/>
    <cellStyle name="Millares 2 2 3 2 2" xfId="4463" xr:uid="{DB6F8A87-4D6D-4301-84C7-EA4F87DE9253}"/>
    <cellStyle name="Millares 2 2 3 2 3" xfId="4578" xr:uid="{81328921-DA1A-4BF9-8C25-FAA3858CC114}"/>
    <cellStyle name="Millares 2 2 3 2 3 2" xfId="4773" xr:uid="{2FD1BE34-85BD-41AB-B1E8-5CEAC161E4A6}"/>
    <cellStyle name="Millares 2 2 3 2 3 2 2" xfId="5086" xr:uid="{AD11BFF7-7B38-4358-8906-005C9DC1C771}"/>
    <cellStyle name="Millares 2 2 3 2 3 3" xfId="4880" xr:uid="{4440DAE4-53F1-4E1C-97CB-6DBA76A22A38}"/>
    <cellStyle name="Millares 2 2 3 2 3 3 2" xfId="5165" xr:uid="{4A17680E-629F-443A-9428-18FD05B83EB6}"/>
    <cellStyle name="Millares 2 2 3 2 3 4" xfId="4971" xr:uid="{D8873867-5B19-4896-927C-3954CA0393D0}"/>
    <cellStyle name="Millares 2 2 3 2 4" xfId="4438" xr:uid="{70AF64AB-003E-45F7-B848-F89401A9990C}"/>
    <cellStyle name="Millares 2 2 3 3" xfId="4579" xr:uid="{DCB0EE51-A3E7-46AE-81A3-6BEC5450CD0F}"/>
    <cellStyle name="Millares 2 2 3 3 2" xfId="4774" xr:uid="{39552D60-2D26-4366-92CF-0E224895A424}"/>
    <cellStyle name="Millares 2 2 3 3 2 2" xfId="5087" xr:uid="{9C3BD0BA-EE46-4CB4-8549-ED866DA50310}"/>
    <cellStyle name="Millares 2 2 3 3 3" xfId="4881" xr:uid="{53D76E0A-495F-4A02-B8F0-BE12654FF525}"/>
    <cellStyle name="Millares 2 2 3 3 3 2" xfId="5166" xr:uid="{87732B9B-F79B-40BC-826F-292E9E695B45}"/>
    <cellStyle name="Millares 2 2 3 3 4" xfId="4972" xr:uid="{8341D5EB-00E4-4F0A-8C1A-666389513E4B}"/>
    <cellStyle name="Millares 2 2 3 4" xfId="4643" xr:uid="{215E6BE8-0D54-4CD4-8D8C-7A363448B0AB}"/>
    <cellStyle name="Millares 2 2 3 4 2" xfId="5016" xr:uid="{5DD25CCA-A3A9-4A3C-9C96-2997EE504062}"/>
    <cellStyle name="Millares 2 2 3 5" xfId="4409" xr:uid="{FF59FC64-26F0-4839-B252-52C476064D23}"/>
    <cellStyle name="Millares 2 2 4" xfId="404" xr:uid="{00000000-0005-0000-0000-00007D050000}"/>
    <cellStyle name="Millares 2 2 4 2" xfId="4456" xr:uid="{C26C2CDB-F59D-4001-A634-D51B4FB11D58}"/>
    <cellStyle name="Millares 2 2 4 3" xfId="4580" xr:uid="{17A42C24-D227-4355-B32B-311432C677AD}"/>
    <cellStyle name="Millares 2 2 4 3 2" xfId="4775" xr:uid="{3CFB9C43-BCF9-4D79-BEE7-169B11E10CE8}"/>
    <cellStyle name="Millares 2 2 4 3 2 2" xfId="5088" xr:uid="{E326ACE9-5E4A-4653-97EA-A264CD78DA38}"/>
    <cellStyle name="Millares 2 2 4 3 3" xfId="4882" xr:uid="{5D7D1F68-016D-4EEE-92DA-ACF3BD506B28}"/>
    <cellStyle name="Millares 2 2 4 3 3 2" xfId="5167" xr:uid="{CBB4AC61-D5AE-4F9D-83D5-B27BD30B3701}"/>
    <cellStyle name="Millares 2 2 4 3 4" xfId="4973" xr:uid="{EB033503-A7FD-466D-8B12-315E910ECB28}"/>
    <cellStyle name="Millares 2 2 4 4" xfId="4427" xr:uid="{6F403AA8-CB90-4C5E-AFD6-9FD551188D6B}"/>
    <cellStyle name="Millares 2 2 5" xfId="4581" xr:uid="{F7201D96-81B6-49A1-BAF9-CA91E73E2233}"/>
    <cellStyle name="Millares 2 2 5 2" xfId="4776" xr:uid="{6275279B-E025-4805-A1D2-C39FBB0F7A93}"/>
    <cellStyle name="Millares 2 2 5 2 2" xfId="5089" xr:uid="{3E4615DF-7146-41E8-8B61-4D612C2EC357}"/>
    <cellStyle name="Millares 2 2 5 3" xfId="4883" xr:uid="{F30C3798-794B-4EFA-B447-E4EFCB79C17F}"/>
    <cellStyle name="Millares 2 2 5 3 2" xfId="5168" xr:uid="{6D7500B7-E45E-497B-BC58-CB80E184BBA9}"/>
    <cellStyle name="Millares 2 2 5 4" xfId="4974" xr:uid="{A0B44686-309F-442A-969A-61C2C74AA711}"/>
    <cellStyle name="Millares 2 2 6" xfId="4616" xr:uid="{A01D1F75-D952-4A6E-819F-1F3E6AF1DC4F}"/>
    <cellStyle name="Millares 2 2 6 2" xfId="4993" xr:uid="{F983F35D-738C-43AC-9865-686D5D8A1D38}"/>
    <cellStyle name="Millares 2 2 7" xfId="4373" xr:uid="{C3511F3E-BB4A-421B-A1EF-A9969D4C00FC}"/>
    <cellStyle name="Millares 2 3" xfId="298" xr:uid="{00000000-0005-0000-0000-00007E050000}"/>
    <cellStyle name="Millares 2 3 10" xfId="781" xr:uid="{00000000-0005-0000-0000-00007F050000}"/>
    <cellStyle name="Millares 2 3 10 2" xfId="2364" xr:uid="{00000000-0005-0000-0000-000080050000}"/>
    <cellStyle name="Millares 2 3 10 2 2" xfId="3946" xr:uid="{00000000-0005-0000-0000-000081050000}"/>
    <cellStyle name="Millares 2 3 10 3" xfId="1573" xr:uid="{00000000-0005-0000-0000-000082050000}"/>
    <cellStyle name="Millares 2 3 10 4" xfId="3155" xr:uid="{00000000-0005-0000-0000-000083050000}"/>
    <cellStyle name="Millares 2 3 11" xfId="1970" xr:uid="{00000000-0005-0000-0000-000084050000}"/>
    <cellStyle name="Millares 2 3 11 2" xfId="3552" xr:uid="{00000000-0005-0000-0000-000085050000}"/>
    <cellStyle name="Millares 2 3 12" xfId="1179" xr:uid="{00000000-0005-0000-0000-000086050000}"/>
    <cellStyle name="Millares 2 3 13" xfId="2761" xr:uid="{00000000-0005-0000-0000-000087050000}"/>
    <cellStyle name="Millares 2 3 14" xfId="4582" xr:uid="{C5A6C24F-2911-45C4-8E1B-6BBC2DBC907F}"/>
    <cellStyle name="Millares 2 3 15" xfId="4619" xr:uid="{3451EF76-2C4D-4F44-89F1-23993F626BEB}"/>
    <cellStyle name="Millares 2 3 15 2" xfId="4996" xr:uid="{84947133-5C54-4431-A59E-7822B3E21247}"/>
    <cellStyle name="Millares 2 3 16" xfId="4380" xr:uid="{8DAFA3E0-D535-4A13-B272-92144459D750}"/>
    <cellStyle name="Millares 2 3 2" xfId="317" xr:uid="{00000000-0005-0000-0000-000088050000}"/>
    <cellStyle name="Millares 2 3 2 10" xfId="1983" xr:uid="{00000000-0005-0000-0000-000089050000}"/>
    <cellStyle name="Millares 2 3 2 10 2" xfId="3565" xr:uid="{00000000-0005-0000-0000-00008A050000}"/>
    <cellStyle name="Millares 2 3 2 11" xfId="1192" xr:uid="{00000000-0005-0000-0000-00008B050000}"/>
    <cellStyle name="Millares 2 3 2 12" xfId="2774" xr:uid="{00000000-0005-0000-0000-00008C050000}"/>
    <cellStyle name="Millares 2 3 2 13" xfId="4583" xr:uid="{4FF6DF94-5B1C-47E1-AF9A-14BD4C25C42A}"/>
    <cellStyle name="Millares 2 3 2 14" xfId="4647" xr:uid="{C81701F2-D289-42D0-B104-BD89E3ACADF3}"/>
    <cellStyle name="Millares 2 3 2 14 2" xfId="5020" xr:uid="{192A64DB-E490-4525-940B-41C96882A732}"/>
    <cellStyle name="Millares 2 3 2 15" xfId="4414" xr:uid="{E2D82327-5107-4461-8466-B9E12A83D6EF}"/>
    <cellStyle name="Millares 2 3 2 2" xfId="340" xr:uid="{00000000-0005-0000-0000-00008D050000}"/>
    <cellStyle name="Millares 2 3 2 2 2" xfId="4465" xr:uid="{9D7AFA2B-329F-4AC3-84ED-2BDEBFE2F7EC}"/>
    <cellStyle name="Millares 2 3 2 2 3" xfId="4584" xr:uid="{47B046DB-AD89-4078-AC91-7316560D5473}"/>
    <cellStyle name="Millares 2 3 2 2 3 2" xfId="4777" xr:uid="{001DE465-5AB2-4ECD-8135-2A60AE9FE485}"/>
    <cellStyle name="Millares 2 3 2 2 3 2 2" xfId="5090" xr:uid="{E442F0E9-C153-48C2-B350-67E0A9689B5C}"/>
    <cellStyle name="Millares 2 3 2 2 3 3" xfId="4884" xr:uid="{1C759ABF-F63E-404D-93F2-6DED617C680D}"/>
    <cellStyle name="Millares 2 3 2 2 3 3 2" xfId="5169" xr:uid="{6A364520-27F4-44A7-8E1F-3F2BA1ABA3BA}"/>
    <cellStyle name="Millares 2 3 2 2 3 4" xfId="4975" xr:uid="{8F9EAB87-3869-49BB-A0B5-2EEDC0F5AC1A}"/>
    <cellStyle name="Millares 2 3 2 2 4" xfId="4440" xr:uid="{12ACFB2E-514F-4A21-AAB9-F1CABDEA8EAC}"/>
    <cellStyle name="Millares 2 3 2 3" xfId="426" xr:uid="{00000000-0005-0000-0000-00008E050000}"/>
    <cellStyle name="Millares 2 3 2 3 2" xfId="4778" xr:uid="{F70EBC9D-8D48-40C4-BE28-E6867EA8BEA0}"/>
    <cellStyle name="Millares 2 3 2 3 2 2" xfId="5091" xr:uid="{25284AB6-619B-4A0B-BD02-FA9EEAEE48F7}"/>
    <cellStyle name="Millares 2 3 2 3 3" xfId="4885" xr:uid="{A993BE88-232B-4885-B265-90FC96BA5C87}"/>
    <cellStyle name="Millares 2 3 2 3 3 2" xfId="5170" xr:uid="{4B7681BE-2203-428E-AEE2-6FB3865AA8AE}"/>
    <cellStyle name="Millares 2 3 2 3 4" xfId="4585" xr:uid="{1BC491F3-046B-49A9-8F9A-A106F19408AF}"/>
    <cellStyle name="Millares 2 3 2 3 5" xfId="4976" xr:uid="{2C720C21-B425-431D-9FF2-410B71E89DF4}"/>
    <cellStyle name="Millares 2 3 2 4" xfId="395" xr:uid="{00000000-0005-0000-0000-00008F050000}"/>
    <cellStyle name="Millares 2 3 2 4 2" xfId="504" xr:uid="{00000000-0005-0000-0000-000090050000}"/>
    <cellStyle name="Millares 2 3 2 4 2 2" xfId="732" xr:uid="{00000000-0005-0000-0000-000091050000}"/>
    <cellStyle name="Millares 2 3 2 4 2 2 2" xfId="1132" xr:uid="{00000000-0005-0000-0000-000092050000}"/>
    <cellStyle name="Millares 2 3 2 4 2 2 2 2" xfId="2715" xr:uid="{00000000-0005-0000-0000-000093050000}"/>
    <cellStyle name="Millares 2 3 2 4 2 2 2 2 2" xfId="4297" xr:uid="{00000000-0005-0000-0000-000094050000}"/>
    <cellStyle name="Millares 2 3 2 4 2 2 2 3" xfId="1924" xr:uid="{00000000-0005-0000-0000-000095050000}"/>
    <cellStyle name="Millares 2 3 2 4 2 2 2 4" xfId="3506" xr:uid="{00000000-0005-0000-0000-000096050000}"/>
    <cellStyle name="Millares 2 3 2 4 2 2 3" xfId="2321" xr:uid="{00000000-0005-0000-0000-000097050000}"/>
    <cellStyle name="Millares 2 3 2 4 2 2 3 2" xfId="3903" xr:uid="{00000000-0005-0000-0000-000098050000}"/>
    <cellStyle name="Millares 2 3 2 4 2 2 4" xfId="1530" xr:uid="{00000000-0005-0000-0000-000099050000}"/>
    <cellStyle name="Millares 2 3 2 4 2 2 5" xfId="3112" xr:uid="{00000000-0005-0000-0000-00009A050000}"/>
    <cellStyle name="Millares 2 3 2 4 2 3" xfId="911" xr:uid="{00000000-0005-0000-0000-00009B050000}"/>
    <cellStyle name="Millares 2 3 2 4 2 3 2" xfId="2494" xr:uid="{00000000-0005-0000-0000-00009C050000}"/>
    <cellStyle name="Millares 2 3 2 4 2 3 2 2" xfId="4076" xr:uid="{00000000-0005-0000-0000-00009D050000}"/>
    <cellStyle name="Millares 2 3 2 4 2 3 3" xfId="1703" xr:uid="{00000000-0005-0000-0000-00009E050000}"/>
    <cellStyle name="Millares 2 3 2 4 2 3 4" xfId="3285" xr:uid="{00000000-0005-0000-0000-00009F050000}"/>
    <cellStyle name="Millares 2 3 2 4 2 4" xfId="2100" xr:uid="{00000000-0005-0000-0000-0000A0050000}"/>
    <cellStyle name="Millares 2 3 2 4 2 4 2" xfId="3682" xr:uid="{00000000-0005-0000-0000-0000A1050000}"/>
    <cellStyle name="Millares 2 3 2 4 2 5" xfId="1309" xr:uid="{00000000-0005-0000-0000-0000A2050000}"/>
    <cellStyle name="Millares 2 3 2 4 2 6" xfId="2891" xr:uid="{00000000-0005-0000-0000-0000A3050000}"/>
    <cellStyle name="Millares 2 3 2 4 3" xfId="581" xr:uid="{00000000-0005-0000-0000-0000A4050000}"/>
    <cellStyle name="Millares 2 3 2 4 3 2" xfId="988" xr:uid="{00000000-0005-0000-0000-0000A5050000}"/>
    <cellStyle name="Millares 2 3 2 4 3 2 2" xfId="2571" xr:uid="{00000000-0005-0000-0000-0000A6050000}"/>
    <cellStyle name="Millares 2 3 2 4 3 2 2 2" xfId="4153" xr:uid="{00000000-0005-0000-0000-0000A7050000}"/>
    <cellStyle name="Millares 2 3 2 4 3 2 3" xfId="1780" xr:uid="{00000000-0005-0000-0000-0000A8050000}"/>
    <cellStyle name="Millares 2 3 2 4 3 2 4" xfId="3362" xr:uid="{00000000-0005-0000-0000-0000A9050000}"/>
    <cellStyle name="Millares 2 3 2 4 3 3" xfId="2177" xr:uid="{00000000-0005-0000-0000-0000AA050000}"/>
    <cellStyle name="Millares 2 3 2 4 3 3 2" xfId="3759" xr:uid="{00000000-0005-0000-0000-0000AB050000}"/>
    <cellStyle name="Millares 2 3 2 4 3 4" xfId="1386" xr:uid="{00000000-0005-0000-0000-0000AC050000}"/>
    <cellStyle name="Millares 2 3 2 4 3 5" xfId="2968" xr:uid="{00000000-0005-0000-0000-0000AD050000}"/>
    <cellStyle name="Millares 2 3 2 4 4" xfId="656" xr:uid="{00000000-0005-0000-0000-0000AE050000}"/>
    <cellStyle name="Millares 2 3 2 4 4 2" xfId="1056" xr:uid="{00000000-0005-0000-0000-0000AF050000}"/>
    <cellStyle name="Millares 2 3 2 4 4 2 2" xfId="2639" xr:uid="{00000000-0005-0000-0000-0000B0050000}"/>
    <cellStyle name="Millares 2 3 2 4 4 2 2 2" xfId="4221" xr:uid="{00000000-0005-0000-0000-0000B1050000}"/>
    <cellStyle name="Millares 2 3 2 4 4 2 3" xfId="1848" xr:uid="{00000000-0005-0000-0000-0000B2050000}"/>
    <cellStyle name="Millares 2 3 2 4 4 2 4" xfId="3430" xr:uid="{00000000-0005-0000-0000-0000B3050000}"/>
    <cellStyle name="Millares 2 3 2 4 4 3" xfId="2245" xr:uid="{00000000-0005-0000-0000-0000B4050000}"/>
    <cellStyle name="Millares 2 3 2 4 4 3 2" xfId="3827" xr:uid="{00000000-0005-0000-0000-0000B5050000}"/>
    <cellStyle name="Millares 2 3 2 4 4 4" xfId="1454" xr:uid="{00000000-0005-0000-0000-0000B6050000}"/>
    <cellStyle name="Millares 2 3 2 4 4 5" xfId="3036" xr:uid="{00000000-0005-0000-0000-0000B7050000}"/>
    <cellStyle name="Millares 2 3 2 4 5" xfId="835" xr:uid="{00000000-0005-0000-0000-0000B8050000}"/>
    <cellStyle name="Millares 2 3 2 4 5 2" xfId="2418" xr:uid="{00000000-0005-0000-0000-0000B9050000}"/>
    <cellStyle name="Millares 2 3 2 4 5 2 2" xfId="4000" xr:uid="{00000000-0005-0000-0000-0000BA050000}"/>
    <cellStyle name="Millares 2 3 2 4 5 3" xfId="1627" xr:uid="{00000000-0005-0000-0000-0000BB050000}"/>
    <cellStyle name="Millares 2 3 2 4 5 4" xfId="3209" xr:uid="{00000000-0005-0000-0000-0000BC050000}"/>
    <cellStyle name="Millares 2 3 2 4 6" xfId="2024" xr:uid="{00000000-0005-0000-0000-0000BD050000}"/>
    <cellStyle name="Millares 2 3 2 4 6 2" xfId="3606" xr:uid="{00000000-0005-0000-0000-0000BE050000}"/>
    <cellStyle name="Millares 2 3 2 4 7" xfId="1233" xr:uid="{00000000-0005-0000-0000-0000BF050000}"/>
    <cellStyle name="Millares 2 3 2 4 8" xfId="2815" xr:uid="{00000000-0005-0000-0000-0000C0050000}"/>
    <cellStyle name="Millares 2 3 2 5" xfId="463" xr:uid="{00000000-0005-0000-0000-0000C1050000}"/>
    <cellStyle name="Millares 2 3 2 5 2" xfId="691" xr:uid="{00000000-0005-0000-0000-0000C2050000}"/>
    <cellStyle name="Millares 2 3 2 5 2 2" xfId="1091" xr:uid="{00000000-0005-0000-0000-0000C3050000}"/>
    <cellStyle name="Millares 2 3 2 5 2 2 2" xfId="2674" xr:uid="{00000000-0005-0000-0000-0000C4050000}"/>
    <cellStyle name="Millares 2 3 2 5 2 2 2 2" xfId="4256" xr:uid="{00000000-0005-0000-0000-0000C5050000}"/>
    <cellStyle name="Millares 2 3 2 5 2 2 3" xfId="1883" xr:uid="{00000000-0005-0000-0000-0000C6050000}"/>
    <cellStyle name="Millares 2 3 2 5 2 2 4" xfId="3465" xr:uid="{00000000-0005-0000-0000-0000C7050000}"/>
    <cellStyle name="Millares 2 3 2 5 2 3" xfId="2280" xr:uid="{00000000-0005-0000-0000-0000C8050000}"/>
    <cellStyle name="Millares 2 3 2 5 2 3 2" xfId="3862" xr:uid="{00000000-0005-0000-0000-0000C9050000}"/>
    <cellStyle name="Millares 2 3 2 5 2 4" xfId="1489" xr:uid="{00000000-0005-0000-0000-0000CA050000}"/>
    <cellStyle name="Millares 2 3 2 5 2 5" xfId="3071" xr:uid="{00000000-0005-0000-0000-0000CB050000}"/>
    <cellStyle name="Millares 2 3 2 5 3" xfId="870" xr:uid="{00000000-0005-0000-0000-0000CC050000}"/>
    <cellStyle name="Millares 2 3 2 5 3 2" xfId="2453" xr:uid="{00000000-0005-0000-0000-0000CD050000}"/>
    <cellStyle name="Millares 2 3 2 5 3 2 2" xfId="4035" xr:uid="{00000000-0005-0000-0000-0000CE050000}"/>
    <cellStyle name="Millares 2 3 2 5 3 3" xfId="1662" xr:uid="{00000000-0005-0000-0000-0000CF050000}"/>
    <cellStyle name="Millares 2 3 2 5 3 4" xfId="3244" xr:uid="{00000000-0005-0000-0000-0000D0050000}"/>
    <cellStyle name="Millares 2 3 2 5 4" xfId="2059" xr:uid="{00000000-0005-0000-0000-0000D1050000}"/>
    <cellStyle name="Millares 2 3 2 5 4 2" xfId="3641" xr:uid="{00000000-0005-0000-0000-0000D2050000}"/>
    <cellStyle name="Millares 2 3 2 5 5" xfId="1268" xr:uid="{00000000-0005-0000-0000-0000D3050000}"/>
    <cellStyle name="Millares 2 3 2 5 6" xfId="2850" xr:uid="{00000000-0005-0000-0000-0000D4050000}"/>
    <cellStyle name="Millares 2 3 2 6" xfId="540" xr:uid="{00000000-0005-0000-0000-0000D5050000}"/>
    <cellStyle name="Millares 2 3 2 6 2" xfId="947" xr:uid="{00000000-0005-0000-0000-0000D6050000}"/>
    <cellStyle name="Millares 2 3 2 6 2 2" xfId="2530" xr:uid="{00000000-0005-0000-0000-0000D7050000}"/>
    <cellStyle name="Millares 2 3 2 6 2 2 2" xfId="4112" xr:uid="{00000000-0005-0000-0000-0000D8050000}"/>
    <cellStyle name="Millares 2 3 2 6 2 3" xfId="1739" xr:uid="{00000000-0005-0000-0000-0000D9050000}"/>
    <cellStyle name="Millares 2 3 2 6 2 4" xfId="3321" xr:uid="{00000000-0005-0000-0000-0000DA050000}"/>
    <cellStyle name="Millares 2 3 2 6 3" xfId="2136" xr:uid="{00000000-0005-0000-0000-0000DB050000}"/>
    <cellStyle name="Millares 2 3 2 6 3 2" xfId="3718" xr:uid="{00000000-0005-0000-0000-0000DC050000}"/>
    <cellStyle name="Millares 2 3 2 6 4" xfId="1345" xr:uid="{00000000-0005-0000-0000-0000DD050000}"/>
    <cellStyle name="Millares 2 3 2 6 5" xfId="2927" xr:uid="{00000000-0005-0000-0000-0000DE050000}"/>
    <cellStyle name="Millares 2 3 2 7" xfId="615" xr:uid="{00000000-0005-0000-0000-0000DF050000}"/>
    <cellStyle name="Millares 2 3 2 7 2" xfId="1015" xr:uid="{00000000-0005-0000-0000-0000E0050000}"/>
    <cellStyle name="Millares 2 3 2 7 2 2" xfId="2598" xr:uid="{00000000-0005-0000-0000-0000E1050000}"/>
    <cellStyle name="Millares 2 3 2 7 2 2 2" xfId="4180" xr:uid="{00000000-0005-0000-0000-0000E2050000}"/>
    <cellStyle name="Millares 2 3 2 7 2 3" xfId="1807" xr:uid="{00000000-0005-0000-0000-0000E3050000}"/>
    <cellStyle name="Millares 2 3 2 7 2 4" xfId="3389" xr:uid="{00000000-0005-0000-0000-0000E4050000}"/>
    <cellStyle name="Millares 2 3 2 7 3" xfId="2204" xr:uid="{00000000-0005-0000-0000-0000E5050000}"/>
    <cellStyle name="Millares 2 3 2 7 3 2" xfId="3786" xr:uid="{00000000-0005-0000-0000-0000E6050000}"/>
    <cellStyle name="Millares 2 3 2 7 4" xfId="1413" xr:uid="{00000000-0005-0000-0000-0000E7050000}"/>
    <cellStyle name="Millares 2 3 2 7 5" xfId="2995" xr:uid="{00000000-0005-0000-0000-0000E8050000}"/>
    <cellStyle name="Millares 2 3 2 8" xfId="767" xr:uid="{00000000-0005-0000-0000-0000E9050000}"/>
    <cellStyle name="Millares 2 3 2 8 2" xfId="1167" xr:uid="{00000000-0005-0000-0000-0000EA050000}"/>
    <cellStyle name="Millares 2 3 2 8 2 2" xfId="2750" xr:uid="{00000000-0005-0000-0000-0000EB050000}"/>
    <cellStyle name="Millares 2 3 2 8 2 2 2" xfId="4332" xr:uid="{00000000-0005-0000-0000-0000EC050000}"/>
    <cellStyle name="Millares 2 3 2 8 2 3" xfId="1959" xr:uid="{00000000-0005-0000-0000-0000ED050000}"/>
    <cellStyle name="Millares 2 3 2 8 2 4" xfId="3541" xr:uid="{00000000-0005-0000-0000-0000EE050000}"/>
    <cellStyle name="Millares 2 3 2 8 3" xfId="2356" xr:uid="{00000000-0005-0000-0000-0000EF050000}"/>
    <cellStyle name="Millares 2 3 2 8 3 2" xfId="3938" xr:uid="{00000000-0005-0000-0000-0000F0050000}"/>
    <cellStyle name="Millares 2 3 2 8 4" xfId="1565" xr:uid="{00000000-0005-0000-0000-0000F1050000}"/>
    <cellStyle name="Millares 2 3 2 8 5" xfId="3147" xr:uid="{00000000-0005-0000-0000-0000F2050000}"/>
    <cellStyle name="Millares 2 3 2 9" xfId="794" xr:uid="{00000000-0005-0000-0000-0000F3050000}"/>
    <cellStyle name="Millares 2 3 2 9 2" xfId="2377" xr:uid="{00000000-0005-0000-0000-0000F4050000}"/>
    <cellStyle name="Millares 2 3 2 9 2 2" xfId="3959" xr:uid="{00000000-0005-0000-0000-0000F5050000}"/>
    <cellStyle name="Millares 2 3 2 9 3" xfId="1586" xr:uid="{00000000-0005-0000-0000-0000F6050000}"/>
    <cellStyle name="Millares 2 3 2 9 4" xfId="3168" xr:uid="{00000000-0005-0000-0000-0000F7050000}"/>
    <cellStyle name="Millares 2 3 3" xfId="325" xr:uid="{00000000-0005-0000-0000-0000F8050000}"/>
    <cellStyle name="Millares 2 3 3 2" xfId="4458" xr:uid="{9826CEAC-FFA9-43D9-955E-10FAB67E0D79}"/>
    <cellStyle name="Millares 2 3 3 3" xfId="4586" xr:uid="{7D50D22D-17B9-482A-8390-25FDDBB2277B}"/>
    <cellStyle name="Millares 2 3 3 3 2" xfId="4779" xr:uid="{C2B89B7D-8167-4270-9EF3-156F8CDE3F1E}"/>
    <cellStyle name="Millares 2 3 3 3 2 2" xfId="5092" xr:uid="{D3C5ECB4-AC00-400F-8B53-0FD83D9BEF2F}"/>
    <cellStyle name="Millares 2 3 3 3 3" xfId="4886" xr:uid="{CE2A1346-B847-427F-B6A0-4D0B8C9155BA}"/>
    <cellStyle name="Millares 2 3 3 3 3 2" xfId="5171" xr:uid="{3782EC6B-47B9-4A4F-A230-B7C84DFAA976}"/>
    <cellStyle name="Millares 2 3 3 3 4" xfId="4977" xr:uid="{6A87D908-AE9B-4A9D-9C04-A0916668BDCE}"/>
    <cellStyle name="Millares 2 3 3 4" xfId="4429" xr:uid="{9BF03188-5971-4637-AF94-4DF4D1953AB2}"/>
    <cellStyle name="Millares 2 3 4" xfId="411" xr:uid="{00000000-0005-0000-0000-0000F9050000}"/>
    <cellStyle name="Millares 2 3 4 2" xfId="4780" xr:uid="{5D03AC4E-86B1-4458-823F-32B5A4E7D100}"/>
    <cellStyle name="Millares 2 3 4 2 2" xfId="5093" xr:uid="{83AB1DBB-ED84-41F2-B8BB-A4A397D98B8B}"/>
    <cellStyle name="Millares 2 3 4 3" xfId="4887" xr:uid="{0BFB6A94-6952-4E19-A609-8EA05966D580}"/>
    <cellStyle name="Millares 2 3 4 3 2" xfId="5172" xr:uid="{E3452A4E-714F-4B10-AC32-6C1ECCD346D3}"/>
    <cellStyle name="Millares 2 3 4 4" xfId="4587" xr:uid="{42F955C4-85CD-43D3-A788-B65D2D173B1D}"/>
    <cellStyle name="Millares 2 3 4 5" xfId="4978" xr:uid="{014919BB-4318-46DF-9AC4-70A6EC26E742}"/>
    <cellStyle name="Millares 2 3 5" xfId="376" xr:uid="{00000000-0005-0000-0000-0000FA050000}"/>
    <cellStyle name="Millares 2 3 5 2" xfId="491" xr:uid="{00000000-0005-0000-0000-0000FB050000}"/>
    <cellStyle name="Millares 2 3 5 2 2" xfId="719" xr:uid="{00000000-0005-0000-0000-0000FC050000}"/>
    <cellStyle name="Millares 2 3 5 2 2 2" xfId="1119" xr:uid="{00000000-0005-0000-0000-0000FD050000}"/>
    <cellStyle name="Millares 2 3 5 2 2 2 2" xfId="2702" xr:uid="{00000000-0005-0000-0000-0000FE050000}"/>
    <cellStyle name="Millares 2 3 5 2 2 2 2 2" xfId="4284" xr:uid="{00000000-0005-0000-0000-0000FF050000}"/>
    <cellStyle name="Millares 2 3 5 2 2 2 3" xfId="1911" xr:uid="{00000000-0005-0000-0000-000000060000}"/>
    <cellStyle name="Millares 2 3 5 2 2 2 4" xfId="3493" xr:uid="{00000000-0005-0000-0000-000001060000}"/>
    <cellStyle name="Millares 2 3 5 2 2 3" xfId="2308" xr:uid="{00000000-0005-0000-0000-000002060000}"/>
    <cellStyle name="Millares 2 3 5 2 2 3 2" xfId="3890" xr:uid="{00000000-0005-0000-0000-000003060000}"/>
    <cellStyle name="Millares 2 3 5 2 2 4" xfId="1517" xr:uid="{00000000-0005-0000-0000-000004060000}"/>
    <cellStyle name="Millares 2 3 5 2 2 5" xfId="3099" xr:uid="{00000000-0005-0000-0000-000005060000}"/>
    <cellStyle name="Millares 2 3 5 2 3" xfId="898" xr:uid="{00000000-0005-0000-0000-000006060000}"/>
    <cellStyle name="Millares 2 3 5 2 3 2" xfId="2481" xr:uid="{00000000-0005-0000-0000-000007060000}"/>
    <cellStyle name="Millares 2 3 5 2 3 2 2" xfId="4063" xr:uid="{00000000-0005-0000-0000-000008060000}"/>
    <cellStyle name="Millares 2 3 5 2 3 3" xfId="1690" xr:uid="{00000000-0005-0000-0000-000009060000}"/>
    <cellStyle name="Millares 2 3 5 2 3 4" xfId="3272" xr:uid="{00000000-0005-0000-0000-00000A060000}"/>
    <cellStyle name="Millares 2 3 5 2 4" xfId="2087" xr:uid="{00000000-0005-0000-0000-00000B060000}"/>
    <cellStyle name="Millares 2 3 5 2 4 2" xfId="3669" xr:uid="{00000000-0005-0000-0000-00000C060000}"/>
    <cellStyle name="Millares 2 3 5 2 5" xfId="1296" xr:uid="{00000000-0005-0000-0000-00000D060000}"/>
    <cellStyle name="Millares 2 3 5 2 6" xfId="2878" xr:uid="{00000000-0005-0000-0000-00000E060000}"/>
    <cellStyle name="Millares 2 3 5 3" xfId="568" xr:uid="{00000000-0005-0000-0000-00000F060000}"/>
    <cellStyle name="Millares 2 3 5 3 2" xfId="975" xr:uid="{00000000-0005-0000-0000-000010060000}"/>
    <cellStyle name="Millares 2 3 5 3 2 2" xfId="2558" xr:uid="{00000000-0005-0000-0000-000011060000}"/>
    <cellStyle name="Millares 2 3 5 3 2 2 2" xfId="4140" xr:uid="{00000000-0005-0000-0000-000012060000}"/>
    <cellStyle name="Millares 2 3 5 3 2 3" xfId="1767" xr:uid="{00000000-0005-0000-0000-000013060000}"/>
    <cellStyle name="Millares 2 3 5 3 2 4" xfId="3349" xr:uid="{00000000-0005-0000-0000-000014060000}"/>
    <cellStyle name="Millares 2 3 5 3 3" xfId="2164" xr:uid="{00000000-0005-0000-0000-000015060000}"/>
    <cellStyle name="Millares 2 3 5 3 3 2" xfId="3746" xr:uid="{00000000-0005-0000-0000-000016060000}"/>
    <cellStyle name="Millares 2 3 5 3 4" xfId="1373" xr:uid="{00000000-0005-0000-0000-000017060000}"/>
    <cellStyle name="Millares 2 3 5 3 5" xfId="2955" xr:uid="{00000000-0005-0000-0000-000018060000}"/>
    <cellStyle name="Millares 2 3 5 4" xfId="643" xr:uid="{00000000-0005-0000-0000-000019060000}"/>
    <cellStyle name="Millares 2 3 5 4 2" xfId="1043" xr:uid="{00000000-0005-0000-0000-00001A060000}"/>
    <cellStyle name="Millares 2 3 5 4 2 2" xfId="2626" xr:uid="{00000000-0005-0000-0000-00001B060000}"/>
    <cellStyle name="Millares 2 3 5 4 2 2 2" xfId="4208" xr:uid="{00000000-0005-0000-0000-00001C060000}"/>
    <cellStyle name="Millares 2 3 5 4 2 3" xfId="1835" xr:uid="{00000000-0005-0000-0000-00001D060000}"/>
    <cellStyle name="Millares 2 3 5 4 2 4" xfId="3417" xr:uid="{00000000-0005-0000-0000-00001E060000}"/>
    <cellStyle name="Millares 2 3 5 4 3" xfId="2232" xr:uid="{00000000-0005-0000-0000-00001F060000}"/>
    <cellStyle name="Millares 2 3 5 4 3 2" xfId="3814" xr:uid="{00000000-0005-0000-0000-000020060000}"/>
    <cellStyle name="Millares 2 3 5 4 4" xfId="1441" xr:uid="{00000000-0005-0000-0000-000021060000}"/>
    <cellStyle name="Millares 2 3 5 4 5" xfId="3023" xr:uid="{00000000-0005-0000-0000-000022060000}"/>
    <cellStyle name="Millares 2 3 5 5" xfId="822" xr:uid="{00000000-0005-0000-0000-000023060000}"/>
    <cellStyle name="Millares 2 3 5 5 2" xfId="2405" xr:uid="{00000000-0005-0000-0000-000024060000}"/>
    <cellStyle name="Millares 2 3 5 5 2 2" xfId="3987" xr:uid="{00000000-0005-0000-0000-000025060000}"/>
    <cellStyle name="Millares 2 3 5 5 3" xfId="1614" xr:uid="{00000000-0005-0000-0000-000026060000}"/>
    <cellStyle name="Millares 2 3 5 5 4" xfId="3196" xr:uid="{00000000-0005-0000-0000-000027060000}"/>
    <cellStyle name="Millares 2 3 5 6" xfId="2011" xr:uid="{00000000-0005-0000-0000-000028060000}"/>
    <cellStyle name="Millares 2 3 5 6 2" xfId="3593" xr:uid="{00000000-0005-0000-0000-000029060000}"/>
    <cellStyle name="Millares 2 3 5 7" xfId="1220" xr:uid="{00000000-0005-0000-0000-00002A060000}"/>
    <cellStyle name="Millares 2 3 5 8" xfId="2802" xr:uid="{00000000-0005-0000-0000-00002B060000}"/>
    <cellStyle name="Millares 2 3 6" xfId="450" xr:uid="{00000000-0005-0000-0000-00002C060000}"/>
    <cellStyle name="Millares 2 3 6 2" xfId="678" xr:uid="{00000000-0005-0000-0000-00002D060000}"/>
    <cellStyle name="Millares 2 3 6 2 2" xfId="1078" xr:uid="{00000000-0005-0000-0000-00002E060000}"/>
    <cellStyle name="Millares 2 3 6 2 2 2" xfId="2661" xr:uid="{00000000-0005-0000-0000-00002F060000}"/>
    <cellStyle name="Millares 2 3 6 2 2 2 2" xfId="4243" xr:uid="{00000000-0005-0000-0000-000030060000}"/>
    <cellStyle name="Millares 2 3 6 2 2 3" xfId="1870" xr:uid="{00000000-0005-0000-0000-000031060000}"/>
    <cellStyle name="Millares 2 3 6 2 2 4" xfId="3452" xr:uid="{00000000-0005-0000-0000-000032060000}"/>
    <cellStyle name="Millares 2 3 6 2 3" xfId="2267" xr:uid="{00000000-0005-0000-0000-000033060000}"/>
    <cellStyle name="Millares 2 3 6 2 3 2" xfId="3849" xr:uid="{00000000-0005-0000-0000-000034060000}"/>
    <cellStyle name="Millares 2 3 6 2 4" xfId="1476" xr:uid="{00000000-0005-0000-0000-000035060000}"/>
    <cellStyle name="Millares 2 3 6 2 5" xfId="3058" xr:uid="{00000000-0005-0000-0000-000036060000}"/>
    <cellStyle name="Millares 2 3 6 3" xfId="857" xr:uid="{00000000-0005-0000-0000-000037060000}"/>
    <cellStyle name="Millares 2 3 6 3 2" xfId="2440" xr:uid="{00000000-0005-0000-0000-000038060000}"/>
    <cellStyle name="Millares 2 3 6 3 2 2" xfId="4022" xr:uid="{00000000-0005-0000-0000-000039060000}"/>
    <cellStyle name="Millares 2 3 6 3 3" xfId="1649" xr:uid="{00000000-0005-0000-0000-00003A060000}"/>
    <cellStyle name="Millares 2 3 6 3 4" xfId="3231" xr:uid="{00000000-0005-0000-0000-00003B060000}"/>
    <cellStyle name="Millares 2 3 6 4" xfId="2046" xr:uid="{00000000-0005-0000-0000-00003C060000}"/>
    <cellStyle name="Millares 2 3 6 4 2" xfId="3628" xr:uid="{00000000-0005-0000-0000-00003D060000}"/>
    <cellStyle name="Millares 2 3 6 5" xfId="1255" xr:uid="{00000000-0005-0000-0000-00003E060000}"/>
    <cellStyle name="Millares 2 3 6 6" xfId="2837" xr:uid="{00000000-0005-0000-0000-00003F060000}"/>
    <cellStyle name="Millares 2 3 7" xfId="527" xr:uid="{00000000-0005-0000-0000-000040060000}"/>
    <cellStyle name="Millares 2 3 7 2" xfId="934" xr:uid="{00000000-0005-0000-0000-000041060000}"/>
    <cellStyle name="Millares 2 3 7 2 2" xfId="2517" xr:uid="{00000000-0005-0000-0000-000042060000}"/>
    <cellStyle name="Millares 2 3 7 2 2 2" xfId="4099" xr:uid="{00000000-0005-0000-0000-000043060000}"/>
    <cellStyle name="Millares 2 3 7 2 3" xfId="1726" xr:uid="{00000000-0005-0000-0000-000044060000}"/>
    <cellStyle name="Millares 2 3 7 2 4" xfId="3308" xr:uid="{00000000-0005-0000-0000-000045060000}"/>
    <cellStyle name="Millares 2 3 7 3" xfId="2123" xr:uid="{00000000-0005-0000-0000-000046060000}"/>
    <cellStyle name="Millares 2 3 7 3 2" xfId="3705" xr:uid="{00000000-0005-0000-0000-000047060000}"/>
    <cellStyle name="Millares 2 3 7 4" xfId="1332" xr:uid="{00000000-0005-0000-0000-000048060000}"/>
    <cellStyle name="Millares 2 3 7 5" xfId="2914" xr:uid="{00000000-0005-0000-0000-000049060000}"/>
    <cellStyle name="Millares 2 3 8" xfId="602" xr:uid="{00000000-0005-0000-0000-00004A060000}"/>
    <cellStyle name="Millares 2 3 8 2" xfId="1002" xr:uid="{00000000-0005-0000-0000-00004B060000}"/>
    <cellStyle name="Millares 2 3 8 2 2" xfId="2585" xr:uid="{00000000-0005-0000-0000-00004C060000}"/>
    <cellStyle name="Millares 2 3 8 2 2 2" xfId="4167" xr:uid="{00000000-0005-0000-0000-00004D060000}"/>
    <cellStyle name="Millares 2 3 8 2 3" xfId="1794" xr:uid="{00000000-0005-0000-0000-00004E060000}"/>
    <cellStyle name="Millares 2 3 8 2 4" xfId="3376" xr:uid="{00000000-0005-0000-0000-00004F060000}"/>
    <cellStyle name="Millares 2 3 8 3" xfId="2191" xr:uid="{00000000-0005-0000-0000-000050060000}"/>
    <cellStyle name="Millares 2 3 8 3 2" xfId="3773" xr:uid="{00000000-0005-0000-0000-000051060000}"/>
    <cellStyle name="Millares 2 3 8 4" xfId="1400" xr:uid="{00000000-0005-0000-0000-000052060000}"/>
    <cellStyle name="Millares 2 3 8 5" xfId="2982" xr:uid="{00000000-0005-0000-0000-000053060000}"/>
    <cellStyle name="Millares 2 3 9" xfId="754" xr:uid="{00000000-0005-0000-0000-000054060000}"/>
    <cellStyle name="Millares 2 3 9 2" xfId="1154" xr:uid="{00000000-0005-0000-0000-000055060000}"/>
    <cellStyle name="Millares 2 3 9 2 2" xfId="2737" xr:uid="{00000000-0005-0000-0000-000056060000}"/>
    <cellStyle name="Millares 2 3 9 2 2 2" xfId="4319" xr:uid="{00000000-0005-0000-0000-000057060000}"/>
    <cellStyle name="Millares 2 3 9 2 3" xfId="1946" xr:uid="{00000000-0005-0000-0000-000058060000}"/>
    <cellStyle name="Millares 2 3 9 2 4" xfId="3528" xr:uid="{00000000-0005-0000-0000-000059060000}"/>
    <cellStyle name="Millares 2 3 9 3" xfId="2343" xr:uid="{00000000-0005-0000-0000-00005A060000}"/>
    <cellStyle name="Millares 2 3 9 3 2" xfId="3925" xr:uid="{00000000-0005-0000-0000-00005B060000}"/>
    <cellStyle name="Millares 2 3 9 4" xfId="1552" xr:uid="{00000000-0005-0000-0000-00005C060000}"/>
    <cellStyle name="Millares 2 3 9 5" xfId="3134" xr:uid="{00000000-0005-0000-0000-00005D060000}"/>
    <cellStyle name="Millares 2 4" xfId="213" xr:uid="{00000000-0005-0000-0000-00005E060000}"/>
    <cellStyle name="Millares 2 4 2" xfId="4416" xr:uid="{92072F19-8390-4F1C-BB92-E72B94A466A6}"/>
    <cellStyle name="Millares 2 4 2 2" xfId="4354" xr:uid="{8EB1F59E-4A65-4B14-8C0A-59F328C9EB8A}"/>
    <cellStyle name="Millares 2 4 2 2 2" xfId="4467" xr:uid="{BBD70C99-92F9-43EF-8CAC-A89A90450CA1}"/>
    <cellStyle name="Millares 2 4 2 3" xfId="4649" xr:uid="{3A2C376A-0F03-462B-9195-F95B0BA147F2}"/>
    <cellStyle name="Millares 2 4 2 3 2" xfId="5022" xr:uid="{66BB620E-A0DB-467C-8FAD-29D859E6E77E}"/>
    <cellStyle name="Millares 2 4 3" xfId="4431" xr:uid="{55461331-CE71-4F11-9E2F-4BA1E0F9AD36}"/>
    <cellStyle name="Millares 2 4 3 2" xfId="4460" xr:uid="{7C0F1BA6-7CA2-43C5-A453-A337E79FDF13}"/>
    <cellStyle name="Millares 2 4 4" xfId="4622" xr:uid="{5F35CE92-D5C1-480C-A70D-680B8AE033DD}"/>
    <cellStyle name="Millares 2 4 4 2" xfId="4999" xr:uid="{E8C4C37D-E471-4B2F-81CB-9C3BE8A09AFB}"/>
    <cellStyle name="Millares 2 4 5" xfId="4384" xr:uid="{1E7167E9-6C9B-4FD8-AA48-CE99D8877A2E}"/>
    <cellStyle name="Millares 2 5" xfId="4408" xr:uid="{68CB7BF1-BD43-4C1A-AD69-88F3F9693A4D}"/>
    <cellStyle name="Millares 2 5 2" xfId="4437" xr:uid="{C90EAC02-08ED-4A50-B1D2-37F796616964}"/>
    <cellStyle name="Millares 2 5 2 2" xfId="4462" xr:uid="{63E49867-585D-496A-A197-06E9661F1827}"/>
    <cellStyle name="Millares 2 5 3" xfId="4642" xr:uid="{FAEF907F-3BF5-4CE8-8990-C29B87B61884}"/>
    <cellStyle name="Millares 2 5 3 2" xfId="5015" xr:uid="{2FAB20BC-E15F-477F-AF6C-1CA761572F6E}"/>
    <cellStyle name="Millares 2 6" xfId="4426" xr:uid="{E1BC1945-7E0E-42AF-8B48-A153B45F9904}"/>
    <cellStyle name="Millares 2 6 2" xfId="4455" xr:uid="{5EF8D44B-27CB-47FC-BD7D-C9CFD9E6801B}"/>
    <cellStyle name="Millares 2 7" xfId="4588" xr:uid="{E054352E-EC6C-471D-8ED7-7EC8EC5C1005}"/>
    <cellStyle name="Millares 2 7 2" xfId="4781" xr:uid="{B52ACD8E-FBAA-4794-A2E3-542666AA6C56}"/>
    <cellStyle name="Millares 2 7 2 2" xfId="5094" xr:uid="{3A438C7E-C360-4175-B602-729B5F8E8150}"/>
    <cellStyle name="Millares 2 7 3" xfId="4888" xr:uid="{E763C17B-4CD5-4400-A476-AB589FFF3325}"/>
    <cellStyle name="Millares 2 7 3 2" xfId="5173" xr:uid="{AD4C392F-3E5E-4788-86F0-C9586F576486}"/>
    <cellStyle name="Millares 2 7 4" xfId="4979" xr:uid="{A9570B16-E276-4942-8E46-353DE9FCB73D}"/>
    <cellStyle name="Millares 2 8" xfId="4615" xr:uid="{4A9C5AEF-8B49-4E86-8853-3BCFD00F928E}"/>
    <cellStyle name="Millares 2 8 2" xfId="4992" xr:uid="{9B3D85EE-17A0-438C-BAE2-79E3C3B4BD4B}"/>
    <cellStyle name="Millares 2 9" xfId="4372" xr:uid="{D3228EE2-22B0-4420-911C-A53613BA9035}"/>
    <cellStyle name="Millares 20" xfId="350" xr:uid="{00000000-0005-0000-0000-00005F060000}"/>
    <cellStyle name="Millares 20 10" xfId="4402" xr:uid="{6336B5F0-EFD9-4E57-BABC-801F9F66F12E}"/>
    <cellStyle name="Millares 20 2" xfId="471" xr:uid="{00000000-0005-0000-0000-000060060000}"/>
    <cellStyle name="Millares 20 2 2" xfId="699" xr:uid="{00000000-0005-0000-0000-000061060000}"/>
    <cellStyle name="Millares 20 2 2 2" xfId="1099" xr:uid="{00000000-0005-0000-0000-000062060000}"/>
    <cellStyle name="Millares 20 2 2 2 2" xfId="2682" xr:uid="{00000000-0005-0000-0000-000063060000}"/>
    <cellStyle name="Millares 20 2 2 2 2 2" xfId="4264" xr:uid="{00000000-0005-0000-0000-000064060000}"/>
    <cellStyle name="Millares 20 2 2 2 3" xfId="1891" xr:uid="{00000000-0005-0000-0000-000065060000}"/>
    <cellStyle name="Millares 20 2 2 2 4" xfId="3473" xr:uid="{00000000-0005-0000-0000-000066060000}"/>
    <cellStyle name="Millares 20 2 2 3" xfId="2288" xr:uid="{00000000-0005-0000-0000-000067060000}"/>
    <cellStyle name="Millares 20 2 2 3 2" xfId="3870" xr:uid="{00000000-0005-0000-0000-000068060000}"/>
    <cellStyle name="Millares 20 2 2 4" xfId="1497" xr:uid="{00000000-0005-0000-0000-000069060000}"/>
    <cellStyle name="Millares 20 2 2 5" xfId="3079" xr:uid="{00000000-0005-0000-0000-00006A060000}"/>
    <cellStyle name="Millares 20 2 3" xfId="878" xr:uid="{00000000-0005-0000-0000-00006B060000}"/>
    <cellStyle name="Millares 20 2 3 2" xfId="2461" xr:uid="{00000000-0005-0000-0000-00006C060000}"/>
    <cellStyle name="Millares 20 2 3 2 2" xfId="4043" xr:uid="{00000000-0005-0000-0000-00006D060000}"/>
    <cellStyle name="Millares 20 2 3 3" xfId="1670" xr:uid="{00000000-0005-0000-0000-00006E060000}"/>
    <cellStyle name="Millares 20 2 3 4" xfId="3252" xr:uid="{00000000-0005-0000-0000-00006F060000}"/>
    <cellStyle name="Millares 20 2 4" xfId="2067" xr:uid="{00000000-0005-0000-0000-000070060000}"/>
    <cellStyle name="Millares 20 2 4 2" xfId="3649" xr:uid="{00000000-0005-0000-0000-000071060000}"/>
    <cellStyle name="Millares 20 2 5" xfId="1276" xr:uid="{00000000-0005-0000-0000-000072060000}"/>
    <cellStyle name="Millares 20 2 6" xfId="2858" xr:uid="{00000000-0005-0000-0000-000073060000}"/>
    <cellStyle name="Millares 20 3" xfId="548" xr:uid="{00000000-0005-0000-0000-000074060000}"/>
    <cellStyle name="Millares 20 3 2" xfId="955" xr:uid="{00000000-0005-0000-0000-000075060000}"/>
    <cellStyle name="Millares 20 3 2 2" xfId="2538" xr:uid="{00000000-0005-0000-0000-000076060000}"/>
    <cellStyle name="Millares 20 3 2 2 2" xfId="4120" xr:uid="{00000000-0005-0000-0000-000077060000}"/>
    <cellStyle name="Millares 20 3 2 3" xfId="1747" xr:uid="{00000000-0005-0000-0000-000078060000}"/>
    <cellStyle name="Millares 20 3 2 4" xfId="3329" xr:uid="{00000000-0005-0000-0000-000079060000}"/>
    <cellStyle name="Millares 20 3 3" xfId="2144" xr:uid="{00000000-0005-0000-0000-00007A060000}"/>
    <cellStyle name="Millares 20 3 3 2" xfId="3726" xr:uid="{00000000-0005-0000-0000-00007B060000}"/>
    <cellStyle name="Millares 20 3 4" xfId="1353" xr:uid="{00000000-0005-0000-0000-00007C060000}"/>
    <cellStyle name="Millares 20 3 5" xfId="2935" xr:uid="{00000000-0005-0000-0000-00007D060000}"/>
    <cellStyle name="Millares 20 4" xfId="623" xr:uid="{00000000-0005-0000-0000-00007E060000}"/>
    <cellStyle name="Millares 20 4 2" xfId="1023" xr:uid="{00000000-0005-0000-0000-00007F060000}"/>
    <cellStyle name="Millares 20 4 2 2" xfId="2606" xr:uid="{00000000-0005-0000-0000-000080060000}"/>
    <cellStyle name="Millares 20 4 2 2 2" xfId="4188" xr:uid="{00000000-0005-0000-0000-000081060000}"/>
    <cellStyle name="Millares 20 4 2 3" xfId="1815" xr:uid="{00000000-0005-0000-0000-000082060000}"/>
    <cellStyle name="Millares 20 4 2 4" xfId="3397" xr:uid="{00000000-0005-0000-0000-000083060000}"/>
    <cellStyle name="Millares 20 4 3" xfId="2212" xr:uid="{00000000-0005-0000-0000-000084060000}"/>
    <cellStyle name="Millares 20 4 3 2" xfId="3794" xr:uid="{00000000-0005-0000-0000-000085060000}"/>
    <cellStyle name="Millares 20 4 4" xfId="1421" xr:uid="{00000000-0005-0000-0000-000086060000}"/>
    <cellStyle name="Millares 20 4 5" xfId="3003" xr:uid="{00000000-0005-0000-0000-000087060000}"/>
    <cellStyle name="Millares 20 5" xfId="802" xr:uid="{00000000-0005-0000-0000-000088060000}"/>
    <cellStyle name="Millares 20 5 2" xfId="2385" xr:uid="{00000000-0005-0000-0000-000089060000}"/>
    <cellStyle name="Millares 20 5 2 2" xfId="3967" xr:uid="{00000000-0005-0000-0000-00008A060000}"/>
    <cellStyle name="Millares 20 5 3" xfId="1594" xr:uid="{00000000-0005-0000-0000-00008B060000}"/>
    <cellStyle name="Millares 20 5 4" xfId="3176" xr:uid="{00000000-0005-0000-0000-00008C060000}"/>
    <cellStyle name="Millares 20 6" xfId="1991" xr:uid="{00000000-0005-0000-0000-00008D060000}"/>
    <cellStyle name="Millares 20 6 2" xfId="3573" xr:uid="{00000000-0005-0000-0000-00008E060000}"/>
    <cellStyle name="Millares 20 7" xfId="1200" xr:uid="{00000000-0005-0000-0000-00008F060000}"/>
    <cellStyle name="Millares 20 8" xfId="2782" xr:uid="{00000000-0005-0000-0000-000090060000}"/>
    <cellStyle name="Millares 20 9" xfId="4636" xr:uid="{CA84A48A-985B-43F7-B36A-21ED31B5220D}"/>
    <cellStyle name="Millares 20 9 2" xfId="5009" xr:uid="{344FBC92-C230-4372-BB1E-478530F95138}"/>
    <cellStyle name="Millares 21" xfId="361" xr:uid="{00000000-0005-0000-0000-000091060000}"/>
    <cellStyle name="Millares 21 2" xfId="479" xr:uid="{00000000-0005-0000-0000-000092060000}"/>
    <cellStyle name="Millares 21 2 2" xfId="707" xr:uid="{00000000-0005-0000-0000-000093060000}"/>
    <cellStyle name="Millares 21 2 2 2" xfId="1107" xr:uid="{00000000-0005-0000-0000-000094060000}"/>
    <cellStyle name="Millares 21 2 2 2 2" xfId="2690" xr:uid="{00000000-0005-0000-0000-000095060000}"/>
    <cellStyle name="Millares 21 2 2 2 2 2" xfId="4272" xr:uid="{00000000-0005-0000-0000-000096060000}"/>
    <cellStyle name="Millares 21 2 2 2 3" xfId="1899" xr:uid="{00000000-0005-0000-0000-000097060000}"/>
    <cellStyle name="Millares 21 2 2 2 4" xfId="3481" xr:uid="{00000000-0005-0000-0000-000098060000}"/>
    <cellStyle name="Millares 21 2 2 3" xfId="2296" xr:uid="{00000000-0005-0000-0000-000099060000}"/>
    <cellStyle name="Millares 21 2 2 3 2" xfId="3878" xr:uid="{00000000-0005-0000-0000-00009A060000}"/>
    <cellStyle name="Millares 21 2 2 4" xfId="1505" xr:uid="{00000000-0005-0000-0000-00009B060000}"/>
    <cellStyle name="Millares 21 2 2 5" xfId="3087" xr:uid="{00000000-0005-0000-0000-00009C060000}"/>
    <cellStyle name="Millares 21 2 3" xfId="886" xr:uid="{00000000-0005-0000-0000-00009D060000}"/>
    <cellStyle name="Millares 21 2 3 2" xfId="2469" xr:uid="{00000000-0005-0000-0000-00009E060000}"/>
    <cellStyle name="Millares 21 2 3 2 2" xfId="4051" xr:uid="{00000000-0005-0000-0000-00009F060000}"/>
    <cellStyle name="Millares 21 2 3 3" xfId="1678" xr:uid="{00000000-0005-0000-0000-0000A0060000}"/>
    <cellStyle name="Millares 21 2 3 4" xfId="3260" xr:uid="{00000000-0005-0000-0000-0000A1060000}"/>
    <cellStyle name="Millares 21 2 4" xfId="2075" xr:uid="{00000000-0005-0000-0000-0000A2060000}"/>
    <cellStyle name="Millares 21 2 4 2" xfId="3657" xr:uid="{00000000-0005-0000-0000-0000A3060000}"/>
    <cellStyle name="Millares 21 2 5" xfId="1284" xr:uid="{00000000-0005-0000-0000-0000A4060000}"/>
    <cellStyle name="Millares 21 2 6" xfId="2866" xr:uid="{00000000-0005-0000-0000-0000A5060000}"/>
    <cellStyle name="Millares 21 3" xfId="556" xr:uid="{00000000-0005-0000-0000-0000A6060000}"/>
    <cellStyle name="Millares 21 3 2" xfId="963" xr:uid="{00000000-0005-0000-0000-0000A7060000}"/>
    <cellStyle name="Millares 21 3 2 2" xfId="2546" xr:uid="{00000000-0005-0000-0000-0000A8060000}"/>
    <cellStyle name="Millares 21 3 2 2 2" xfId="4128" xr:uid="{00000000-0005-0000-0000-0000A9060000}"/>
    <cellStyle name="Millares 21 3 2 3" xfId="1755" xr:uid="{00000000-0005-0000-0000-0000AA060000}"/>
    <cellStyle name="Millares 21 3 2 4" xfId="3337" xr:uid="{00000000-0005-0000-0000-0000AB060000}"/>
    <cellStyle name="Millares 21 3 3" xfId="2152" xr:uid="{00000000-0005-0000-0000-0000AC060000}"/>
    <cellStyle name="Millares 21 3 3 2" xfId="3734" xr:uid="{00000000-0005-0000-0000-0000AD060000}"/>
    <cellStyle name="Millares 21 3 4" xfId="1361" xr:uid="{00000000-0005-0000-0000-0000AE060000}"/>
    <cellStyle name="Millares 21 3 5" xfId="2943" xr:uid="{00000000-0005-0000-0000-0000AF060000}"/>
    <cellStyle name="Millares 21 4" xfId="631" xr:uid="{00000000-0005-0000-0000-0000B0060000}"/>
    <cellStyle name="Millares 21 4 2" xfId="1031" xr:uid="{00000000-0005-0000-0000-0000B1060000}"/>
    <cellStyle name="Millares 21 4 2 2" xfId="2614" xr:uid="{00000000-0005-0000-0000-0000B2060000}"/>
    <cellStyle name="Millares 21 4 2 2 2" xfId="4196" xr:uid="{00000000-0005-0000-0000-0000B3060000}"/>
    <cellStyle name="Millares 21 4 2 3" xfId="1823" xr:uid="{00000000-0005-0000-0000-0000B4060000}"/>
    <cellStyle name="Millares 21 4 2 4" xfId="3405" xr:uid="{00000000-0005-0000-0000-0000B5060000}"/>
    <cellStyle name="Millares 21 4 3" xfId="2220" xr:uid="{00000000-0005-0000-0000-0000B6060000}"/>
    <cellStyle name="Millares 21 4 3 2" xfId="3802" xr:uid="{00000000-0005-0000-0000-0000B7060000}"/>
    <cellStyle name="Millares 21 4 4" xfId="1429" xr:uid="{00000000-0005-0000-0000-0000B8060000}"/>
    <cellStyle name="Millares 21 4 5" xfId="3011" xr:uid="{00000000-0005-0000-0000-0000B9060000}"/>
    <cellStyle name="Millares 21 5" xfId="810" xr:uid="{00000000-0005-0000-0000-0000BA060000}"/>
    <cellStyle name="Millares 21 5 2" xfId="2393" xr:uid="{00000000-0005-0000-0000-0000BB060000}"/>
    <cellStyle name="Millares 21 5 2 2" xfId="3975" xr:uid="{00000000-0005-0000-0000-0000BC060000}"/>
    <cellStyle name="Millares 21 5 3" xfId="1602" xr:uid="{00000000-0005-0000-0000-0000BD060000}"/>
    <cellStyle name="Millares 21 5 4" xfId="3184" xr:uid="{00000000-0005-0000-0000-0000BE060000}"/>
    <cellStyle name="Millares 21 6" xfId="1999" xr:uid="{00000000-0005-0000-0000-0000BF060000}"/>
    <cellStyle name="Millares 21 6 2" xfId="3581" xr:uid="{00000000-0005-0000-0000-0000C0060000}"/>
    <cellStyle name="Millares 21 7" xfId="1208" xr:uid="{00000000-0005-0000-0000-0000C1060000}"/>
    <cellStyle name="Millares 21 8" xfId="2790" xr:uid="{00000000-0005-0000-0000-0000C2060000}"/>
    <cellStyle name="Millares 22" xfId="357" xr:uid="{00000000-0005-0000-0000-0000C3060000}"/>
    <cellStyle name="Millares 22 2" xfId="478" xr:uid="{00000000-0005-0000-0000-0000C4060000}"/>
    <cellStyle name="Millares 22 2 2" xfId="706" xr:uid="{00000000-0005-0000-0000-0000C5060000}"/>
    <cellStyle name="Millares 22 2 2 2" xfId="1106" xr:uid="{00000000-0005-0000-0000-0000C6060000}"/>
    <cellStyle name="Millares 22 2 2 2 2" xfId="2689" xr:uid="{00000000-0005-0000-0000-0000C7060000}"/>
    <cellStyle name="Millares 22 2 2 2 2 2" xfId="4271" xr:uid="{00000000-0005-0000-0000-0000C8060000}"/>
    <cellStyle name="Millares 22 2 2 2 3" xfId="1898" xr:uid="{00000000-0005-0000-0000-0000C9060000}"/>
    <cellStyle name="Millares 22 2 2 2 4" xfId="3480" xr:uid="{00000000-0005-0000-0000-0000CA060000}"/>
    <cellStyle name="Millares 22 2 2 3" xfId="2295" xr:uid="{00000000-0005-0000-0000-0000CB060000}"/>
    <cellStyle name="Millares 22 2 2 3 2" xfId="3877" xr:uid="{00000000-0005-0000-0000-0000CC060000}"/>
    <cellStyle name="Millares 22 2 2 4" xfId="1504" xr:uid="{00000000-0005-0000-0000-0000CD060000}"/>
    <cellStyle name="Millares 22 2 2 5" xfId="3086" xr:uid="{00000000-0005-0000-0000-0000CE060000}"/>
    <cellStyle name="Millares 22 2 3" xfId="885" xr:uid="{00000000-0005-0000-0000-0000CF060000}"/>
    <cellStyle name="Millares 22 2 3 2" xfId="2468" xr:uid="{00000000-0005-0000-0000-0000D0060000}"/>
    <cellStyle name="Millares 22 2 3 2 2" xfId="4050" xr:uid="{00000000-0005-0000-0000-0000D1060000}"/>
    <cellStyle name="Millares 22 2 3 3" xfId="1677" xr:uid="{00000000-0005-0000-0000-0000D2060000}"/>
    <cellStyle name="Millares 22 2 3 4" xfId="3259" xr:uid="{00000000-0005-0000-0000-0000D3060000}"/>
    <cellStyle name="Millares 22 2 4" xfId="2074" xr:uid="{00000000-0005-0000-0000-0000D4060000}"/>
    <cellStyle name="Millares 22 2 4 2" xfId="3656" xr:uid="{00000000-0005-0000-0000-0000D5060000}"/>
    <cellStyle name="Millares 22 2 5" xfId="1283" xr:uid="{00000000-0005-0000-0000-0000D6060000}"/>
    <cellStyle name="Millares 22 2 6" xfId="2865" xr:uid="{00000000-0005-0000-0000-0000D7060000}"/>
    <cellStyle name="Millares 22 3" xfId="555" xr:uid="{00000000-0005-0000-0000-0000D8060000}"/>
    <cellStyle name="Millares 22 3 2" xfId="962" xr:uid="{00000000-0005-0000-0000-0000D9060000}"/>
    <cellStyle name="Millares 22 3 2 2" xfId="2545" xr:uid="{00000000-0005-0000-0000-0000DA060000}"/>
    <cellStyle name="Millares 22 3 2 2 2" xfId="4127" xr:uid="{00000000-0005-0000-0000-0000DB060000}"/>
    <cellStyle name="Millares 22 3 2 3" xfId="1754" xr:uid="{00000000-0005-0000-0000-0000DC060000}"/>
    <cellStyle name="Millares 22 3 2 4" xfId="3336" xr:uid="{00000000-0005-0000-0000-0000DD060000}"/>
    <cellStyle name="Millares 22 3 3" xfId="2151" xr:uid="{00000000-0005-0000-0000-0000DE060000}"/>
    <cellStyle name="Millares 22 3 3 2" xfId="3733" xr:uid="{00000000-0005-0000-0000-0000DF060000}"/>
    <cellStyle name="Millares 22 3 4" xfId="1360" xr:uid="{00000000-0005-0000-0000-0000E0060000}"/>
    <cellStyle name="Millares 22 3 5" xfId="2942" xr:uid="{00000000-0005-0000-0000-0000E1060000}"/>
    <cellStyle name="Millares 22 4" xfId="630" xr:uid="{00000000-0005-0000-0000-0000E2060000}"/>
    <cellStyle name="Millares 22 4 2" xfId="1030" xr:uid="{00000000-0005-0000-0000-0000E3060000}"/>
    <cellStyle name="Millares 22 4 2 2" xfId="2613" xr:uid="{00000000-0005-0000-0000-0000E4060000}"/>
    <cellStyle name="Millares 22 4 2 2 2" xfId="4195" xr:uid="{00000000-0005-0000-0000-0000E5060000}"/>
    <cellStyle name="Millares 22 4 2 3" xfId="1822" xr:uid="{00000000-0005-0000-0000-0000E6060000}"/>
    <cellStyle name="Millares 22 4 2 4" xfId="3404" xr:uid="{00000000-0005-0000-0000-0000E7060000}"/>
    <cellStyle name="Millares 22 4 3" xfId="2219" xr:uid="{00000000-0005-0000-0000-0000E8060000}"/>
    <cellStyle name="Millares 22 4 3 2" xfId="3801" xr:uid="{00000000-0005-0000-0000-0000E9060000}"/>
    <cellStyle name="Millares 22 4 4" xfId="1428" xr:uid="{00000000-0005-0000-0000-0000EA060000}"/>
    <cellStyle name="Millares 22 4 5" xfId="3010" xr:uid="{00000000-0005-0000-0000-0000EB060000}"/>
    <cellStyle name="Millares 22 5" xfId="809" xr:uid="{00000000-0005-0000-0000-0000EC060000}"/>
    <cellStyle name="Millares 22 5 2" xfId="2392" xr:uid="{00000000-0005-0000-0000-0000ED060000}"/>
    <cellStyle name="Millares 22 5 2 2" xfId="3974" xr:uid="{00000000-0005-0000-0000-0000EE060000}"/>
    <cellStyle name="Millares 22 5 3" xfId="1601" xr:uid="{00000000-0005-0000-0000-0000EF060000}"/>
    <cellStyle name="Millares 22 5 4" xfId="3183" xr:uid="{00000000-0005-0000-0000-0000F0060000}"/>
    <cellStyle name="Millares 22 6" xfId="1998" xr:uid="{00000000-0005-0000-0000-0000F1060000}"/>
    <cellStyle name="Millares 22 6 2" xfId="3580" xr:uid="{00000000-0005-0000-0000-0000F2060000}"/>
    <cellStyle name="Millares 22 7" xfId="1207" xr:uid="{00000000-0005-0000-0000-0000F3060000}"/>
    <cellStyle name="Millares 22 8" xfId="2789" xr:uid="{00000000-0005-0000-0000-0000F4060000}"/>
    <cellStyle name="Millares 23" xfId="433" xr:uid="{00000000-0005-0000-0000-0000F5060000}"/>
    <cellStyle name="Millares 23 2" xfId="509" xr:uid="{00000000-0005-0000-0000-0000F6060000}"/>
    <cellStyle name="Millares 23 2 2" xfId="737" xr:uid="{00000000-0005-0000-0000-0000F7060000}"/>
    <cellStyle name="Millares 23 2 2 2" xfId="1137" xr:uid="{00000000-0005-0000-0000-0000F8060000}"/>
    <cellStyle name="Millares 23 2 2 2 2" xfId="2720" xr:uid="{00000000-0005-0000-0000-0000F9060000}"/>
    <cellStyle name="Millares 23 2 2 2 2 2" xfId="4302" xr:uid="{00000000-0005-0000-0000-0000FA060000}"/>
    <cellStyle name="Millares 23 2 2 2 3" xfId="1929" xr:uid="{00000000-0005-0000-0000-0000FB060000}"/>
    <cellStyle name="Millares 23 2 2 2 4" xfId="3511" xr:uid="{00000000-0005-0000-0000-0000FC060000}"/>
    <cellStyle name="Millares 23 2 2 3" xfId="2326" xr:uid="{00000000-0005-0000-0000-0000FD060000}"/>
    <cellStyle name="Millares 23 2 2 3 2" xfId="3908" xr:uid="{00000000-0005-0000-0000-0000FE060000}"/>
    <cellStyle name="Millares 23 2 2 4" xfId="1535" xr:uid="{00000000-0005-0000-0000-0000FF060000}"/>
    <cellStyle name="Millares 23 2 2 5" xfId="3117" xr:uid="{00000000-0005-0000-0000-000000070000}"/>
    <cellStyle name="Millares 23 2 3" xfId="916" xr:uid="{00000000-0005-0000-0000-000001070000}"/>
    <cellStyle name="Millares 23 2 3 2" xfId="2499" xr:uid="{00000000-0005-0000-0000-000002070000}"/>
    <cellStyle name="Millares 23 2 3 2 2" xfId="4081" xr:uid="{00000000-0005-0000-0000-000003070000}"/>
    <cellStyle name="Millares 23 2 3 3" xfId="1708" xr:uid="{00000000-0005-0000-0000-000004070000}"/>
    <cellStyle name="Millares 23 2 3 4" xfId="3290" xr:uid="{00000000-0005-0000-0000-000005070000}"/>
    <cellStyle name="Millares 23 2 4" xfId="2105" xr:uid="{00000000-0005-0000-0000-000006070000}"/>
    <cellStyle name="Millares 23 2 4 2" xfId="3687" xr:uid="{00000000-0005-0000-0000-000007070000}"/>
    <cellStyle name="Millares 23 2 5" xfId="1314" xr:uid="{00000000-0005-0000-0000-000008070000}"/>
    <cellStyle name="Millares 23 2 6" xfId="2896" xr:uid="{00000000-0005-0000-0000-000009070000}"/>
    <cellStyle name="Millares 23 3" xfId="586" xr:uid="{00000000-0005-0000-0000-00000A070000}"/>
    <cellStyle name="Millares 23 3 2" xfId="993" xr:uid="{00000000-0005-0000-0000-00000B070000}"/>
    <cellStyle name="Millares 23 3 2 2" xfId="2576" xr:uid="{00000000-0005-0000-0000-00000C070000}"/>
    <cellStyle name="Millares 23 3 2 2 2" xfId="4158" xr:uid="{00000000-0005-0000-0000-00000D070000}"/>
    <cellStyle name="Millares 23 3 2 3" xfId="1785" xr:uid="{00000000-0005-0000-0000-00000E070000}"/>
    <cellStyle name="Millares 23 3 2 4" xfId="3367" xr:uid="{00000000-0005-0000-0000-00000F070000}"/>
    <cellStyle name="Millares 23 3 3" xfId="2182" xr:uid="{00000000-0005-0000-0000-000010070000}"/>
    <cellStyle name="Millares 23 3 3 2" xfId="3764" xr:uid="{00000000-0005-0000-0000-000011070000}"/>
    <cellStyle name="Millares 23 3 4" xfId="1391" xr:uid="{00000000-0005-0000-0000-000012070000}"/>
    <cellStyle name="Millares 23 3 5" xfId="2973" xr:uid="{00000000-0005-0000-0000-000013070000}"/>
    <cellStyle name="Millares 23 4" xfId="661" xr:uid="{00000000-0005-0000-0000-000014070000}"/>
    <cellStyle name="Millares 23 4 2" xfId="1061" xr:uid="{00000000-0005-0000-0000-000015070000}"/>
    <cellStyle name="Millares 23 4 2 2" xfId="2644" xr:uid="{00000000-0005-0000-0000-000016070000}"/>
    <cellStyle name="Millares 23 4 2 2 2" xfId="4226" xr:uid="{00000000-0005-0000-0000-000017070000}"/>
    <cellStyle name="Millares 23 4 2 3" xfId="1853" xr:uid="{00000000-0005-0000-0000-000018070000}"/>
    <cellStyle name="Millares 23 4 2 4" xfId="3435" xr:uid="{00000000-0005-0000-0000-000019070000}"/>
    <cellStyle name="Millares 23 4 3" xfId="2250" xr:uid="{00000000-0005-0000-0000-00001A070000}"/>
    <cellStyle name="Millares 23 4 3 2" xfId="3832" xr:uid="{00000000-0005-0000-0000-00001B070000}"/>
    <cellStyle name="Millares 23 4 4" xfId="1459" xr:uid="{00000000-0005-0000-0000-00001C070000}"/>
    <cellStyle name="Millares 23 4 5" xfId="3041" xr:uid="{00000000-0005-0000-0000-00001D070000}"/>
    <cellStyle name="Millares 23 5" xfId="840" xr:uid="{00000000-0005-0000-0000-00001E070000}"/>
    <cellStyle name="Millares 23 5 2" xfId="2423" xr:uid="{00000000-0005-0000-0000-00001F070000}"/>
    <cellStyle name="Millares 23 5 2 2" xfId="4005" xr:uid="{00000000-0005-0000-0000-000020070000}"/>
    <cellStyle name="Millares 23 5 3" xfId="1632" xr:uid="{00000000-0005-0000-0000-000021070000}"/>
    <cellStyle name="Millares 23 5 4" xfId="3214" xr:uid="{00000000-0005-0000-0000-000022070000}"/>
    <cellStyle name="Millares 23 6" xfId="2029" xr:uid="{00000000-0005-0000-0000-000023070000}"/>
    <cellStyle name="Millares 23 6 2" xfId="3611" xr:uid="{00000000-0005-0000-0000-000024070000}"/>
    <cellStyle name="Millares 23 7" xfId="1238" xr:uid="{00000000-0005-0000-0000-000025070000}"/>
    <cellStyle name="Millares 23 8" xfId="2820" xr:uid="{00000000-0005-0000-0000-000026070000}"/>
    <cellStyle name="Millares 24" xfId="363" xr:uid="{00000000-0005-0000-0000-000027070000}"/>
    <cellStyle name="Millares 24 2" xfId="481" xr:uid="{00000000-0005-0000-0000-000028070000}"/>
    <cellStyle name="Millares 24 2 2" xfId="709" xr:uid="{00000000-0005-0000-0000-000029070000}"/>
    <cellStyle name="Millares 24 2 2 2" xfId="1109" xr:uid="{00000000-0005-0000-0000-00002A070000}"/>
    <cellStyle name="Millares 24 2 2 2 2" xfId="2692" xr:uid="{00000000-0005-0000-0000-00002B070000}"/>
    <cellStyle name="Millares 24 2 2 2 2 2" xfId="4274" xr:uid="{00000000-0005-0000-0000-00002C070000}"/>
    <cellStyle name="Millares 24 2 2 2 3" xfId="1901" xr:uid="{00000000-0005-0000-0000-00002D070000}"/>
    <cellStyle name="Millares 24 2 2 2 4" xfId="3483" xr:uid="{00000000-0005-0000-0000-00002E070000}"/>
    <cellStyle name="Millares 24 2 2 3" xfId="2298" xr:uid="{00000000-0005-0000-0000-00002F070000}"/>
    <cellStyle name="Millares 24 2 2 3 2" xfId="3880" xr:uid="{00000000-0005-0000-0000-000030070000}"/>
    <cellStyle name="Millares 24 2 2 4" xfId="1507" xr:uid="{00000000-0005-0000-0000-000031070000}"/>
    <cellStyle name="Millares 24 2 2 5" xfId="3089" xr:uid="{00000000-0005-0000-0000-000032070000}"/>
    <cellStyle name="Millares 24 2 3" xfId="888" xr:uid="{00000000-0005-0000-0000-000033070000}"/>
    <cellStyle name="Millares 24 2 3 2" xfId="2471" xr:uid="{00000000-0005-0000-0000-000034070000}"/>
    <cellStyle name="Millares 24 2 3 2 2" xfId="4053" xr:uid="{00000000-0005-0000-0000-000035070000}"/>
    <cellStyle name="Millares 24 2 3 3" xfId="1680" xr:uid="{00000000-0005-0000-0000-000036070000}"/>
    <cellStyle name="Millares 24 2 3 4" xfId="3262" xr:uid="{00000000-0005-0000-0000-000037070000}"/>
    <cellStyle name="Millares 24 2 4" xfId="2077" xr:uid="{00000000-0005-0000-0000-000038070000}"/>
    <cellStyle name="Millares 24 2 4 2" xfId="3659" xr:uid="{00000000-0005-0000-0000-000039070000}"/>
    <cellStyle name="Millares 24 2 5" xfId="1286" xr:uid="{00000000-0005-0000-0000-00003A070000}"/>
    <cellStyle name="Millares 24 2 6" xfId="2868" xr:uid="{00000000-0005-0000-0000-00003B070000}"/>
    <cellStyle name="Millares 24 3" xfId="558" xr:uid="{00000000-0005-0000-0000-00003C070000}"/>
    <cellStyle name="Millares 24 3 2" xfId="965" xr:uid="{00000000-0005-0000-0000-00003D070000}"/>
    <cellStyle name="Millares 24 3 2 2" xfId="2548" xr:uid="{00000000-0005-0000-0000-00003E070000}"/>
    <cellStyle name="Millares 24 3 2 2 2" xfId="4130" xr:uid="{00000000-0005-0000-0000-00003F070000}"/>
    <cellStyle name="Millares 24 3 2 3" xfId="1757" xr:uid="{00000000-0005-0000-0000-000040070000}"/>
    <cellStyle name="Millares 24 3 2 4" xfId="3339" xr:uid="{00000000-0005-0000-0000-000041070000}"/>
    <cellStyle name="Millares 24 3 3" xfId="2154" xr:uid="{00000000-0005-0000-0000-000042070000}"/>
    <cellStyle name="Millares 24 3 3 2" xfId="3736" xr:uid="{00000000-0005-0000-0000-000043070000}"/>
    <cellStyle name="Millares 24 3 4" xfId="1363" xr:uid="{00000000-0005-0000-0000-000044070000}"/>
    <cellStyle name="Millares 24 3 5" xfId="2945" xr:uid="{00000000-0005-0000-0000-000045070000}"/>
    <cellStyle name="Millares 24 4" xfId="633" xr:uid="{00000000-0005-0000-0000-000046070000}"/>
    <cellStyle name="Millares 24 4 2" xfId="1033" xr:uid="{00000000-0005-0000-0000-000047070000}"/>
    <cellStyle name="Millares 24 4 2 2" xfId="2616" xr:uid="{00000000-0005-0000-0000-000048070000}"/>
    <cellStyle name="Millares 24 4 2 2 2" xfId="4198" xr:uid="{00000000-0005-0000-0000-000049070000}"/>
    <cellStyle name="Millares 24 4 2 3" xfId="1825" xr:uid="{00000000-0005-0000-0000-00004A070000}"/>
    <cellStyle name="Millares 24 4 2 4" xfId="3407" xr:uid="{00000000-0005-0000-0000-00004B070000}"/>
    <cellStyle name="Millares 24 4 3" xfId="2222" xr:uid="{00000000-0005-0000-0000-00004C070000}"/>
    <cellStyle name="Millares 24 4 3 2" xfId="3804" xr:uid="{00000000-0005-0000-0000-00004D070000}"/>
    <cellStyle name="Millares 24 4 4" xfId="1431" xr:uid="{00000000-0005-0000-0000-00004E070000}"/>
    <cellStyle name="Millares 24 4 5" xfId="3013" xr:uid="{00000000-0005-0000-0000-00004F070000}"/>
    <cellStyle name="Millares 24 5" xfId="812" xr:uid="{00000000-0005-0000-0000-000050070000}"/>
    <cellStyle name="Millares 24 5 2" xfId="2395" xr:uid="{00000000-0005-0000-0000-000051070000}"/>
    <cellStyle name="Millares 24 5 2 2" xfId="3977" xr:uid="{00000000-0005-0000-0000-000052070000}"/>
    <cellStyle name="Millares 24 5 3" xfId="1604" xr:uid="{00000000-0005-0000-0000-000053070000}"/>
    <cellStyle name="Millares 24 5 4" xfId="3186" xr:uid="{00000000-0005-0000-0000-000054070000}"/>
    <cellStyle name="Millares 24 6" xfId="2001" xr:uid="{00000000-0005-0000-0000-000055070000}"/>
    <cellStyle name="Millares 24 6 2" xfId="3583" xr:uid="{00000000-0005-0000-0000-000056070000}"/>
    <cellStyle name="Millares 24 7" xfId="1210" xr:uid="{00000000-0005-0000-0000-000057070000}"/>
    <cellStyle name="Millares 24 8" xfId="2792" xr:uid="{00000000-0005-0000-0000-000058070000}"/>
    <cellStyle name="Millares 25" xfId="354" xr:uid="{00000000-0005-0000-0000-000059070000}"/>
    <cellStyle name="Millares 25 10" xfId="4445" xr:uid="{FA06D671-B739-4760-92A6-24CCACD90C48}"/>
    <cellStyle name="Millares 25 2" xfId="475" xr:uid="{00000000-0005-0000-0000-00005A070000}"/>
    <cellStyle name="Millares 25 2 2" xfId="703" xr:uid="{00000000-0005-0000-0000-00005B070000}"/>
    <cellStyle name="Millares 25 2 2 2" xfId="1103" xr:uid="{00000000-0005-0000-0000-00005C070000}"/>
    <cellStyle name="Millares 25 2 2 2 2" xfId="2686" xr:uid="{00000000-0005-0000-0000-00005D070000}"/>
    <cellStyle name="Millares 25 2 2 2 2 2" xfId="4268" xr:uid="{00000000-0005-0000-0000-00005E070000}"/>
    <cellStyle name="Millares 25 2 2 2 3" xfId="1895" xr:uid="{00000000-0005-0000-0000-00005F070000}"/>
    <cellStyle name="Millares 25 2 2 2 4" xfId="3477" xr:uid="{00000000-0005-0000-0000-000060070000}"/>
    <cellStyle name="Millares 25 2 2 3" xfId="2292" xr:uid="{00000000-0005-0000-0000-000061070000}"/>
    <cellStyle name="Millares 25 2 2 3 2" xfId="3874" xr:uid="{00000000-0005-0000-0000-000062070000}"/>
    <cellStyle name="Millares 25 2 2 4" xfId="1501" xr:uid="{00000000-0005-0000-0000-000063070000}"/>
    <cellStyle name="Millares 25 2 2 5" xfId="3083" xr:uid="{00000000-0005-0000-0000-000064070000}"/>
    <cellStyle name="Millares 25 2 3" xfId="882" xr:uid="{00000000-0005-0000-0000-000065070000}"/>
    <cellStyle name="Millares 25 2 3 2" xfId="2465" xr:uid="{00000000-0005-0000-0000-000066070000}"/>
    <cellStyle name="Millares 25 2 3 2 2" xfId="4047" xr:uid="{00000000-0005-0000-0000-000067070000}"/>
    <cellStyle name="Millares 25 2 3 3" xfId="1674" xr:uid="{00000000-0005-0000-0000-000068070000}"/>
    <cellStyle name="Millares 25 2 3 4" xfId="3256" xr:uid="{00000000-0005-0000-0000-000069070000}"/>
    <cellStyle name="Millares 25 2 4" xfId="2071" xr:uid="{00000000-0005-0000-0000-00006A070000}"/>
    <cellStyle name="Millares 25 2 4 2" xfId="3653" xr:uid="{00000000-0005-0000-0000-00006B070000}"/>
    <cellStyle name="Millares 25 2 5" xfId="1280" xr:uid="{00000000-0005-0000-0000-00006C070000}"/>
    <cellStyle name="Millares 25 2 6" xfId="2862" xr:uid="{00000000-0005-0000-0000-00006D070000}"/>
    <cellStyle name="Millares 25 2 7" xfId="4589" xr:uid="{4F9807D4-93CE-411C-AC83-CC100B3037BE}"/>
    <cellStyle name="Millares 25 2 8" xfId="4470" xr:uid="{AC0483AD-2D57-431C-AEFF-80E07E30DADE}"/>
    <cellStyle name="Millares 25 3" xfId="552" xr:uid="{00000000-0005-0000-0000-00006E070000}"/>
    <cellStyle name="Millares 25 3 2" xfId="959" xr:uid="{00000000-0005-0000-0000-00006F070000}"/>
    <cellStyle name="Millares 25 3 2 2" xfId="2542" xr:uid="{00000000-0005-0000-0000-000070070000}"/>
    <cellStyle name="Millares 25 3 2 2 2" xfId="4124" xr:uid="{00000000-0005-0000-0000-000071070000}"/>
    <cellStyle name="Millares 25 3 2 3" xfId="1751" xr:uid="{00000000-0005-0000-0000-000072070000}"/>
    <cellStyle name="Millares 25 3 2 4" xfId="3333" xr:uid="{00000000-0005-0000-0000-000073070000}"/>
    <cellStyle name="Millares 25 3 3" xfId="2148" xr:uid="{00000000-0005-0000-0000-000074070000}"/>
    <cellStyle name="Millares 25 3 3 2" xfId="3730" xr:uid="{00000000-0005-0000-0000-000075070000}"/>
    <cellStyle name="Millares 25 3 4" xfId="1357" xr:uid="{00000000-0005-0000-0000-000076070000}"/>
    <cellStyle name="Millares 25 3 5" xfId="2939" xr:uid="{00000000-0005-0000-0000-000077070000}"/>
    <cellStyle name="Millares 25 4" xfId="627" xr:uid="{00000000-0005-0000-0000-000078070000}"/>
    <cellStyle name="Millares 25 4 2" xfId="1027" xr:uid="{00000000-0005-0000-0000-000079070000}"/>
    <cellStyle name="Millares 25 4 2 2" xfId="2610" xr:uid="{00000000-0005-0000-0000-00007A070000}"/>
    <cellStyle name="Millares 25 4 2 2 2" xfId="4192" xr:uid="{00000000-0005-0000-0000-00007B070000}"/>
    <cellStyle name="Millares 25 4 2 3" xfId="1819" xr:uid="{00000000-0005-0000-0000-00007C070000}"/>
    <cellStyle name="Millares 25 4 2 4" xfId="3401" xr:uid="{00000000-0005-0000-0000-00007D070000}"/>
    <cellStyle name="Millares 25 4 3" xfId="2216" xr:uid="{00000000-0005-0000-0000-00007E070000}"/>
    <cellStyle name="Millares 25 4 3 2" xfId="3798" xr:uid="{00000000-0005-0000-0000-00007F070000}"/>
    <cellStyle name="Millares 25 4 4" xfId="1425" xr:uid="{00000000-0005-0000-0000-000080070000}"/>
    <cellStyle name="Millares 25 4 5" xfId="3007" xr:uid="{00000000-0005-0000-0000-000081070000}"/>
    <cellStyle name="Millares 25 5" xfId="806" xr:uid="{00000000-0005-0000-0000-000082070000}"/>
    <cellStyle name="Millares 25 5 2" xfId="2389" xr:uid="{00000000-0005-0000-0000-000083070000}"/>
    <cellStyle name="Millares 25 5 2 2" xfId="3971" xr:uid="{00000000-0005-0000-0000-000084070000}"/>
    <cellStyle name="Millares 25 5 3" xfId="1598" xr:uid="{00000000-0005-0000-0000-000085070000}"/>
    <cellStyle name="Millares 25 5 4" xfId="3180" xr:uid="{00000000-0005-0000-0000-000086070000}"/>
    <cellStyle name="Millares 25 6" xfId="1995" xr:uid="{00000000-0005-0000-0000-000087070000}"/>
    <cellStyle name="Millares 25 6 2" xfId="3577" xr:uid="{00000000-0005-0000-0000-000088070000}"/>
    <cellStyle name="Millares 25 7" xfId="1204" xr:uid="{00000000-0005-0000-0000-000089070000}"/>
    <cellStyle name="Millares 25 8" xfId="2786" xr:uid="{00000000-0005-0000-0000-00008A070000}"/>
    <cellStyle name="Millares 25 9" xfId="4590" xr:uid="{85B1CA1C-1629-4F41-8E01-050A1A8F9E0D}"/>
    <cellStyle name="Millares 26" xfId="434" xr:uid="{00000000-0005-0000-0000-00008B070000}"/>
    <cellStyle name="Millares 26 2" xfId="510" xr:uid="{00000000-0005-0000-0000-00008C070000}"/>
    <cellStyle name="Millares 26 2 2" xfId="738" xr:uid="{00000000-0005-0000-0000-00008D070000}"/>
    <cellStyle name="Millares 26 2 2 2" xfId="1138" xr:uid="{00000000-0005-0000-0000-00008E070000}"/>
    <cellStyle name="Millares 26 2 2 2 2" xfId="2721" xr:uid="{00000000-0005-0000-0000-00008F070000}"/>
    <cellStyle name="Millares 26 2 2 2 2 2" xfId="4303" xr:uid="{00000000-0005-0000-0000-000090070000}"/>
    <cellStyle name="Millares 26 2 2 2 3" xfId="1930" xr:uid="{00000000-0005-0000-0000-000091070000}"/>
    <cellStyle name="Millares 26 2 2 2 4" xfId="3512" xr:uid="{00000000-0005-0000-0000-000092070000}"/>
    <cellStyle name="Millares 26 2 2 3" xfId="2327" xr:uid="{00000000-0005-0000-0000-000093070000}"/>
    <cellStyle name="Millares 26 2 2 3 2" xfId="3909" xr:uid="{00000000-0005-0000-0000-000094070000}"/>
    <cellStyle name="Millares 26 2 2 4" xfId="1536" xr:uid="{00000000-0005-0000-0000-000095070000}"/>
    <cellStyle name="Millares 26 2 2 5" xfId="3118" xr:uid="{00000000-0005-0000-0000-000096070000}"/>
    <cellStyle name="Millares 26 2 3" xfId="917" xr:uid="{00000000-0005-0000-0000-000097070000}"/>
    <cellStyle name="Millares 26 2 3 2" xfId="2500" xr:uid="{00000000-0005-0000-0000-000098070000}"/>
    <cellStyle name="Millares 26 2 3 2 2" xfId="4082" xr:uid="{00000000-0005-0000-0000-000099070000}"/>
    <cellStyle name="Millares 26 2 3 3" xfId="1709" xr:uid="{00000000-0005-0000-0000-00009A070000}"/>
    <cellStyle name="Millares 26 2 3 4" xfId="3291" xr:uid="{00000000-0005-0000-0000-00009B070000}"/>
    <cellStyle name="Millares 26 2 4" xfId="2106" xr:uid="{00000000-0005-0000-0000-00009C070000}"/>
    <cellStyle name="Millares 26 2 4 2" xfId="3688" xr:uid="{00000000-0005-0000-0000-00009D070000}"/>
    <cellStyle name="Millares 26 2 5" xfId="1315" xr:uid="{00000000-0005-0000-0000-00009E070000}"/>
    <cellStyle name="Millares 26 2 6" xfId="2897" xr:uid="{00000000-0005-0000-0000-00009F070000}"/>
    <cellStyle name="Millares 26 3" xfId="587" xr:uid="{00000000-0005-0000-0000-0000A0070000}"/>
    <cellStyle name="Millares 26 3 2" xfId="994" xr:uid="{00000000-0005-0000-0000-0000A1070000}"/>
    <cellStyle name="Millares 26 3 2 2" xfId="2577" xr:uid="{00000000-0005-0000-0000-0000A2070000}"/>
    <cellStyle name="Millares 26 3 2 2 2" xfId="4159" xr:uid="{00000000-0005-0000-0000-0000A3070000}"/>
    <cellStyle name="Millares 26 3 2 3" xfId="1786" xr:uid="{00000000-0005-0000-0000-0000A4070000}"/>
    <cellStyle name="Millares 26 3 2 4" xfId="3368" xr:uid="{00000000-0005-0000-0000-0000A5070000}"/>
    <cellStyle name="Millares 26 3 3" xfId="2183" xr:uid="{00000000-0005-0000-0000-0000A6070000}"/>
    <cellStyle name="Millares 26 3 3 2" xfId="3765" xr:uid="{00000000-0005-0000-0000-0000A7070000}"/>
    <cellStyle name="Millares 26 3 4" xfId="1392" xr:uid="{00000000-0005-0000-0000-0000A8070000}"/>
    <cellStyle name="Millares 26 3 5" xfId="2974" xr:uid="{00000000-0005-0000-0000-0000A9070000}"/>
    <cellStyle name="Millares 26 4" xfId="662" xr:uid="{00000000-0005-0000-0000-0000AA070000}"/>
    <cellStyle name="Millares 26 4 2" xfId="1062" xr:uid="{00000000-0005-0000-0000-0000AB070000}"/>
    <cellStyle name="Millares 26 4 2 2" xfId="2645" xr:uid="{00000000-0005-0000-0000-0000AC070000}"/>
    <cellStyle name="Millares 26 4 2 2 2" xfId="4227" xr:uid="{00000000-0005-0000-0000-0000AD070000}"/>
    <cellStyle name="Millares 26 4 2 3" xfId="1854" xr:uid="{00000000-0005-0000-0000-0000AE070000}"/>
    <cellStyle name="Millares 26 4 2 4" xfId="3436" xr:uid="{00000000-0005-0000-0000-0000AF070000}"/>
    <cellStyle name="Millares 26 4 3" xfId="2251" xr:uid="{00000000-0005-0000-0000-0000B0070000}"/>
    <cellStyle name="Millares 26 4 3 2" xfId="3833" xr:uid="{00000000-0005-0000-0000-0000B1070000}"/>
    <cellStyle name="Millares 26 4 4" xfId="1460" xr:uid="{00000000-0005-0000-0000-0000B2070000}"/>
    <cellStyle name="Millares 26 4 5" xfId="3042" xr:uid="{00000000-0005-0000-0000-0000B3070000}"/>
    <cellStyle name="Millares 26 5" xfId="841" xr:uid="{00000000-0005-0000-0000-0000B4070000}"/>
    <cellStyle name="Millares 26 5 2" xfId="2424" xr:uid="{00000000-0005-0000-0000-0000B5070000}"/>
    <cellStyle name="Millares 26 5 2 2" xfId="4006" xr:uid="{00000000-0005-0000-0000-0000B6070000}"/>
    <cellStyle name="Millares 26 5 3" xfId="1633" xr:uid="{00000000-0005-0000-0000-0000B7070000}"/>
    <cellStyle name="Millares 26 5 4" xfId="3215" xr:uid="{00000000-0005-0000-0000-0000B8070000}"/>
    <cellStyle name="Millares 26 6" xfId="2030" xr:uid="{00000000-0005-0000-0000-0000B9070000}"/>
    <cellStyle name="Millares 26 6 2" xfId="3612" xr:uid="{00000000-0005-0000-0000-0000BA070000}"/>
    <cellStyle name="Millares 26 7" xfId="1239" xr:uid="{00000000-0005-0000-0000-0000BB070000}"/>
    <cellStyle name="Millares 26 8" xfId="2821" xr:uid="{00000000-0005-0000-0000-0000BC070000}"/>
    <cellStyle name="Millares 27" xfId="368" xr:uid="{00000000-0005-0000-0000-0000BD070000}"/>
    <cellStyle name="Millares 27 2" xfId="486" xr:uid="{00000000-0005-0000-0000-0000BE070000}"/>
    <cellStyle name="Millares 27 2 2" xfId="714" xr:uid="{00000000-0005-0000-0000-0000BF070000}"/>
    <cellStyle name="Millares 27 2 2 2" xfId="1114" xr:uid="{00000000-0005-0000-0000-0000C0070000}"/>
    <cellStyle name="Millares 27 2 2 2 2" xfId="2697" xr:uid="{00000000-0005-0000-0000-0000C1070000}"/>
    <cellStyle name="Millares 27 2 2 2 2 2" xfId="4279" xr:uid="{00000000-0005-0000-0000-0000C2070000}"/>
    <cellStyle name="Millares 27 2 2 2 3" xfId="1906" xr:uid="{00000000-0005-0000-0000-0000C3070000}"/>
    <cellStyle name="Millares 27 2 2 2 4" xfId="3488" xr:uid="{00000000-0005-0000-0000-0000C4070000}"/>
    <cellStyle name="Millares 27 2 2 3" xfId="2303" xr:uid="{00000000-0005-0000-0000-0000C5070000}"/>
    <cellStyle name="Millares 27 2 2 3 2" xfId="3885" xr:uid="{00000000-0005-0000-0000-0000C6070000}"/>
    <cellStyle name="Millares 27 2 2 4" xfId="1512" xr:uid="{00000000-0005-0000-0000-0000C7070000}"/>
    <cellStyle name="Millares 27 2 2 5" xfId="3094" xr:uid="{00000000-0005-0000-0000-0000C8070000}"/>
    <cellStyle name="Millares 27 2 3" xfId="893" xr:uid="{00000000-0005-0000-0000-0000C9070000}"/>
    <cellStyle name="Millares 27 2 3 2" xfId="2476" xr:uid="{00000000-0005-0000-0000-0000CA070000}"/>
    <cellStyle name="Millares 27 2 3 2 2" xfId="4058" xr:uid="{00000000-0005-0000-0000-0000CB070000}"/>
    <cellStyle name="Millares 27 2 3 3" xfId="1685" xr:uid="{00000000-0005-0000-0000-0000CC070000}"/>
    <cellStyle name="Millares 27 2 3 4" xfId="3267" xr:uid="{00000000-0005-0000-0000-0000CD070000}"/>
    <cellStyle name="Millares 27 2 4" xfId="2082" xr:uid="{00000000-0005-0000-0000-0000CE070000}"/>
    <cellStyle name="Millares 27 2 4 2" xfId="3664" xr:uid="{00000000-0005-0000-0000-0000CF070000}"/>
    <cellStyle name="Millares 27 2 5" xfId="1291" xr:uid="{00000000-0005-0000-0000-0000D0070000}"/>
    <cellStyle name="Millares 27 2 6" xfId="2873" xr:uid="{00000000-0005-0000-0000-0000D1070000}"/>
    <cellStyle name="Millares 27 3" xfId="563" xr:uid="{00000000-0005-0000-0000-0000D2070000}"/>
    <cellStyle name="Millares 27 3 2" xfId="970" xr:uid="{00000000-0005-0000-0000-0000D3070000}"/>
    <cellStyle name="Millares 27 3 2 2" xfId="2553" xr:uid="{00000000-0005-0000-0000-0000D4070000}"/>
    <cellStyle name="Millares 27 3 2 2 2" xfId="4135" xr:uid="{00000000-0005-0000-0000-0000D5070000}"/>
    <cellStyle name="Millares 27 3 2 3" xfId="1762" xr:uid="{00000000-0005-0000-0000-0000D6070000}"/>
    <cellStyle name="Millares 27 3 2 4" xfId="3344" xr:uid="{00000000-0005-0000-0000-0000D7070000}"/>
    <cellStyle name="Millares 27 3 3" xfId="2159" xr:uid="{00000000-0005-0000-0000-0000D8070000}"/>
    <cellStyle name="Millares 27 3 3 2" xfId="3741" xr:uid="{00000000-0005-0000-0000-0000D9070000}"/>
    <cellStyle name="Millares 27 3 4" xfId="1368" xr:uid="{00000000-0005-0000-0000-0000DA070000}"/>
    <cellStyle name="Millares 27 3 5" xfId="2950" xr:uid="{00000000-0005-0000-0000-0000DB070000}"/>
    <cellStyle name="Millares 27 4" xfId="638" xr:uid="{00000000-0005-0000-0000-0000DC070000}"/>
    <cellStyle name="Millares 27 4 2" xfId="1038" xr:uid="{00000000-0005-0000-0000-0000DD070000}"/>
    <cellStyle name="Millares 27 4 2 2" xfId="2621" xr:uid="{00000000-0005-0000-0000-0000DE070000}"/>
    <cellStyle name="Millares 27 4 2 2 2" xfId="4203" xr:uid="{00000000-0005-0000-0000-0000DF070000}"/>
    <cellStyle name="Millares 27 4 2 3" xfId="1830" xr:uid="{00000000-0005-0000-0000-0000E0070000}"/>
    <cellStyle name="Millares 27 4 2 4" xfId="3412" xr:uid="{00000000-0005-0000-0000-0000E1070000}"/>
    <cellStyle name="Millares 27 4 3" xfId="2227" xr:uid="{00000000-0005-0000-0000-0000E2070000}"/>
    <cellStyle name="Millares 27 4 3 2" xfId="3809" xr:uid="{00000000-0005-0000-0000-0000E3070000}"/>
    <cellStyle name="Millares 27 4 4" xfId="1436" xr:uid="{00000000-0005-0000-0000-0000E4070000}"/>
    <cellStyle name="Millares 27 4 5" xfId="3018" xr:uid="{00000000-0005-0000-0000-0000E5070000}"/>
    <cellStyle name="Millares 27 5" xfId="817" xr:uid="{00000000-0005-0000-0000-0000E6070000}"/>
    <cellStyle name="Millares 27 5 2" xfId="2400" xr:uid="{00000000-0005-0000-0000-0000E7070000}"/>
    <cellStyle name="Millares 27 5 2 2" xfId="3982" xr:uid="{00000000-0005-0000-0000-0000E8070000}"/>
    <cellStyle name="Millares 27 5 3" xfId="1609" xr:uid="{00000000-0005-0000-0000-0000E9070000}"/>
    <cellStyle name="Millares 27 5 4" xfId="3191" xr:uid="{00000000-0005-0000-0000-0000EA070000}"/>
    <cellStyle name="Millares 27 6" xfId="2006" xr:uid="{00000000-0005-0000-0000-0000EB070000}"/>
    <cellStyle name="Millares 27 6 2" xfId="3588" xr:uid="{00000000-0005-0000-0000-0000EC070000}"/>
    <cellStyle name="Millares 27 7" xfId="1215" xr:uid="{00000000-0005-0000-0000-0000ED070000}"/>
    <cellStyle name="Millares 27 8" xfId="2797" xr:uid="{00000000-0005-0000-0000-0000EE070000}"/>
    <cellStyle name="Millares 28" xfId="346" xr:uid="{00000000-0005-0000-0000-0000EF070000}"/>
    <cellStyle name="Millares 28 2" xfId="467" xr:uid="{00000000-0005-0000-0000-0000F0070000}"/>
    <cellStyle name="Millares 28 2 2" xfId="695" xr:uid="{00000000-0005-0000-0000-0000F1070000}"/>
    <cellStyle name="Millares 28 2 2 2" xfId="1095" xr:uid="{00000000-0005-0000-0000-0000F2070000}"/>
    <cellStyle name="Millares 28 2 2 2 2" xfId="2678" xr:uid="{00000000-0005-0000-0000-0000F3070000}"/>
    <cellStyle name="Millares 28 2 2 2 2 2" xfId="4260" xr:uid="{00000000-0005-0000-0000-0000F4070000}"/>
    <cellStyle name="Millares 28 2 2 2 3" xfId="1887" xr:uid="{00000000-0005-0000-0000-0000F5070000}"/>
    <cellStyle name="Millares 28 2 2 2 4" xfId="3469" xr:uid="{00000000-0005-0000-0000-0000F6070000}"/>
    <cellStyle name="Millares 28 2 2 3" xfId="2284" xr:uid="{00000000-0005-0000-0000-0000F7070000}"/>
    <cellStyle name="Millares 28 2 2 3 2" xfId="3866" xr:uid="{00000000-0005-0000-0000-0000F8070000}"/>
    <cellStyle name="Millares 28 2 2 4" xfId="1493" xr:uid="{00000000-0005-0000-0000-0000F9070000}"/>
    <cellStyle name="Millares 28 2 2 5" xfId="3075" xr:uid="{00000000-0005-0000-0000-0000FA070000}"/>
    <cellStyle name="Millares 28 2 3" xfId="874" xr:uid="{00000000-0005-0000-0000-0000FB070000}"/>
    <cellStyle name="Millares 28 2 3 2" xfId="2457" xr:uid="{00000000-0005-0000-0000-0000FC070000}"/>
    <cellStyle name="Millares 28 2 3 2 2" xfId="4039" xr:uid="{00000000-0005-0000-0000-0000FD070000}"/>
    <cellStyle name="Millares 28 2 3 3" xfId="1666" xr:uid="{00000000-0005-0000-0000-0000FE070000}"/>
    <cellStyle name="Millares 28 2 3 4" xfId="3248" xr:uid="{00000000-0005-0000-0000-0000FF070000}"/>
    <cellStyle name="Millares 28 2 4" xfId="2063" xr:uid="{00000000-0005-0000-0000-000000080000}"/>
    <cellStyle name="Millares 28 2 4 2" xfId="3645" xr:uid="{00000000-0005-0000-0000-000001080000}"/>
    <cellStyle name="Millares 28 2 5" xfId="1272" xr:uid="{00000000-0005-0000-0000-000002080000}"/>
    <cellStyle name="Millares 28 2 6" xfId="2854" xr:uid="{00000000-0005-0000-0000-000003080000}"/>
    <cellStyle name="Millares 28 3" xfId="544" xr:uid="{00000000-0005-0000-0000-000004080000}"/>
    <cellStyle name="Millares 28 3 2" xfId="951" xr:uid="{00000000-0005-0000-0000-000005080000}"/>
    <cellStyle name="Millares 28 3 2 2" xfId="2534" xr:uid="{00000000-0005-0000-0000-000006080000}"/>
    <cellStyle name="Millares 28 3 2 2 2" xfId="4116" xr:uid="{00000000-0005-0000-0000-000007080000}"/>
    <cellStyle name="Millares 28 3 2 3" xfId="1743" xr:uid="{00000000-0005-0000-0000-000008080000}"/>
    <cellStyle name="Millares 28 3 2 4" xfId="3325" xr:uid="{00000000-0005-0000-0000-000009080000}"/>
    <cellStyle name="Millares 28 3 3" xfId="2140" xr:uid="{00000000-0005-0000-0000-00000A080000}"/>
    <cellStyle name="Millares 28 3 3 2" xfId="3722" xr:uid="{00000000-0005-0000-0000-00000B080000}"/>
    <cellStyle name="Millares 28 3 4" xfId="1349" xr:uid="{00000000-0005-0000-0000-00000C080000}"/>
    <cellStyle name="Millares 28 3 5" xfId="2931" xr:uid="{00000000-0005-0000-0000-00000D080000}"/>
    <cellStyle name="Millares 28 4" xfId="619" xr:uid="{00000000-0005-0000-0000-00000E080000}"/>
    <cellStyle name="Millares 28 4 2" xfId="1019" xr:uid="{00000000-0005-0000-0000-00000F080000}"/>
    <cellStyle name="Millares 28 4 2 2" xfId="2602" xr:uid="{00000000-0005-0000-0000-000010080000}"/>
    <cellStyle name="Millares 28 4 2 2 2" xfId="4184" xr:uid="{00000000-0005-0000-0000-000011080000}"/>
    <cellStyle name="Millares 28 4 2 3" xfId="1811" xr:uid="{00000000-0005-0000-0000-000012080000}"/>
    <cellStyle name="Millares 28 4 2 4" xfId="3393" xr:uid="{00000000-0005-0000-0000-000013080000}"/>
    <cellStyle name="Millares 28 4 3" xfId="2208" xr:uid="{00000000-0005-0000-0000-000014080000}"/>
    <cellStyle name="Millares 28 4 3 2" xfId="3790" xr:uid="{00000000-0005-0000-0000-000015080000}"/>
    <cellStyle name="Millares 28 4 4" xfId="1417" xr:uid="{00000000-0005-0000-0000-000016080000}"/>
    <cellStyle name="Millares 28 4 5" xfId="2999" xr:uid="{00000000-0005-0000-0000-000017080000}"/>
    <cellStyle name="Millares 28 5" xfId="798" xr:uid="{00000000-0005-0000-0000-000018080000}"/>
    <cellStyle name="Millares 28 5 2" xfId="2381" xr:uid="{00000000-0005-0000-0000-000019080000}"/>
    <cellStyle name="Millares 28 5 2 2" xfId="3963" xr:uid="{00000000-0005-0000-0000-00001A080000}"/>
    <cellStyle name="Millares 28 5 3" xfId="1590" xr:uid="{00000000-0005-0000-0000-00001B080000}"/>
    <cellStyle name="Millares 28 5 4" xfId="3172" xr:uid="{00000000-0005-0000-0000-00001C080000}"/>
    <cellStyle name="Millares 28 6" xfId="1987" xr:uid="{00000000-0005-0000-0000-00001D080000}"/>
    <cellStyle name="Millares 28 6 2" xfId="3569" xr:uid="{00000000-0005-0000-0000-00001E080000}"/>
    <cellStyle name="Millares 28 7" xfId="1196" xr:uid="{00000000-0005-0000-0000-00001F080000}"/>
    <cellStyle name="Millares 28 8" xfId="2778" xr:uid="{00000000-0005-0000-0000-000020080000}"/>
    <cellStyle name="Millares 29" xfId="362" xr:uid="{00000000-0005-0000-0000-000021080000}"/>
    <cellStyle name="Millares 29 2" xfId="480" xr:uid="{00000000-0005-0000-0000-000022080000}"/>
    <cellStyle name="Millares 29 2 2" xfId="708" xr:uid="{00000000-0005-0000-0000-000023080000}"/>
    <cellStyle name="Millares 29 2 2 2" xfId="1108" xr:uid="{00000000-0005-0000-0000-000024080000}"/>
    <cellStyle name="Millares 29 2 2 2 2" xfId="2691" xr:uid="{00000000-0005-0000-0000-000025080000}"/>
    <cellStyle name="Millares 29 2 2 2 2 2" xfId="4273" xr:uid="{00000000-0005-0000-0000-000026080000}"/>
    <cellStyle name="Millares 29 2 2 2 3" xfId="1900" xr:uid="{00000000-0005-0000-0000-000027080000}"/>
    <cellStyle name="Millares 29 2 2 2 4" xfId="3482" xr:uid="{00000000-0005-0000-0000-000028080000}"/>
    <cellStyle name="Millares 29 2 2 3" xfId="2297" xr:uid="{00000000-0005-0000-0000-000029080000}"/>
    <cellStyle name="Millares 29 2 2 3 2" xfId="3879" xr:uid="{00000000-0005-0000-0000-00002A080000}"/>
    <cellStyle name="Millares 29 2 2 4" xfId="1506" xr:uid="{00000000-0005-0000-0000-00002B080000}"/>
    <cellStyle name="Millares 29 2 2 5" xfId="3088" xr:uid="{00000000-0005-0000-0000-00002C080000}"/>
    <cellStyle name="Millares 29 2 3" xfId="887" xr:uid="{00000000-0005-0000-0000-00002D080000}"/>
    <cellStyle name="Millares 29 2 3 2" xfId="2470" xr:uid="{00000000-0005-0000-0000-00002E080000}"/>
    <cellStyle name="Millares 29 2 3 2 2" xfId="4052" xr:uid="{00000000-0005-0000-0000-00002F080000}"/>
    <cellStyle name="Millares 29 2 3 3" xfId="1679" xr:uid="{00000000-0005-0000-0000-000030080000}"/>
    <cellStyle name="Millares 29 2 3 4" xfId="3261" xr:uid="{00000000-0005-0000-0000-000031080000}"/>
    <cellStyle name="Millares 29 2 4" xfId="2076" xr:uid="{00000000-0005-0000-0000-000032080000}"/>
    <cellStyle name="Millares 29 2 4 2" xfId="3658" xr:uid="{00000000-0005-0000-0000-000033080000}"/>
    <cellStyle name="Millares 29 2 5" xfId="1285" xr:uid="{00000000-0005-0000-0000-000034080000}"/>
    <cellStyle name="Millares 29 2 6" xfId="2867" xr:uid="{00000000-0005-0000-0000-000035080000}"/>
    <cellStyle name="Millares 29 3" xfId="557" xr:uid="{00000000-0005-0000-0000-000036080000}"/>
    <cellStyle name="Millares 29 3 2" xfId="964" xr:uid="{00000000-0005-0000-0000-000037080000}"/>
    <cellStyle name="Millares 29 3 2 2" xfId="2547" xr:uid="{00000000-0005-0000-0000-000038080000}"/>
    <cellStyle name="Millares 29 3 2 2 2" xfId="4129" xr:uid="{00000000-0005-0000-0000-000039080000}"/>
    <cellStyle name="Millares 29 3 2 3" xfId="1756" xr:uid="{00000000-0005-0000-0000-00003A080000}"/>
    <cellStyle name="Millares 29 3 2 4" xfId="3338" xr:uid="{00000000-0005-0000-0000-00003B080000}"/>
    <cellStyle name="Millares 29 3 3" xfId="2153" xr:uid="{00000000-0005-0000-0000-00003C080000}"/>
    <cellStyle name="Millares 29 3 3 2" xfId="3735" xr:uid="{00000000-0005-0000-0000-00003D080000}"/>
    <cellStyle name="Millares 29 3 4" xfId="1362" xr:uid="{00000000-0005-0000-0000-00003E080000}"/>
    <cellStyle name="Millares 29 3 5" xfId="2944" xr:uid="{00000000-0005-0000-0000-00003F080000}"/>
    <cellStyle name="Millares 29 4" xfId="632" xr:uid="{00000000-0005-0000-0000-000040080000}"/>
    <cellStyle name="Millares 29 4 2" xfId="1032" xr:uid="{00000000-0005-0000-0000-000041080000}"/>
    <cellStyle name="Millares 29 4 2 2" xfId="2615" xr:uid="{00000000-0005-0000-0000-000042080000}"/>
    <cellStyle name="Millares 29 4 2 2 2" xfId="4197" xr:uid="{00000000-0005-0000-0000-000043080000}"/>
    <cellStyle name="Millares 29 4 2 3" xfId="1824" xr:uid="{00000000-0005-0000-0000-000044080000}"/>
    <cellStyle name="Millares 29 4 2 4" xfId="3406" xr:uid="{00000000-0005-0000-0000-000045080000}"/>
    <cellStyle name="Millares 29 4 3" xfId="2221" xr:uid="{00000000-0005-0000-0000-000046080000}"/>
    <cellStyle name="Millares 29 4 3 2" xfId="3803" xr:uid="{00000000-0005-0000-0000-000047080000}"/>
    <cellStyle name="Millares 29 4 4" xfId="1430" xr:uid="{00000000-0005-0000-0000-000048080000}"/>
    <cellStyle name="Millares 29 4 5" xfId="3012" xr:uid="{00000000-0005-0000-0000-000049080000}"/>
    <cellStyle name="Millares 29 5" xfId="811" xr:uid="{00000000-0005-0000-0000-00004A080000}"/>
    <cellStyle name="Millares 29 5 2" xfId="2394" xr:uid="{00000000-0005-0000-0000-00004B080000}"/>
    <cellStyle name="Millares 29 5 2 2" xfId="3976" xr:uid="{00000000-0005-0000-0000-00004C080000}"/>
    <cellStyle name="Millares 29 5 3" xfId="1603" xr:uid="{00000000-0005-0000-0000-00004D080000}"/>
    <cellStyle name="Millares 29 5 4" xfId="3185" xr:uid="{00000000-0005-0000-0000-00004E080000}"/>
    <cellStyle name="Millares 29 6" xfId="2000" xr:uid="{00000000-0005-0000-0000-00004F080000}"/>
    <cellStyle name="Millares 29 6 2" xfId="3582" xr:uid="{00000000-0005-0000-0000-000050080000}"/>
    <cellStyle name="Millares 29 7" xfId="1209" xr:uid="{00000000-0005-0000-0000-000051080000}"/>
    <cellStyle name="Millares 29 8" xfId="2791" xr:uid="{00000000-0005-0000-0000-000052080000}"/>
    <cellStyle name="Millares 3" xfId="12" xr:uid="{00000000-0005-0000-0000-000053080000}"/>
    <cellStyle name="Millares 3 10" xfId="1967" xr:uid="{00000000-0005-0000-0000-000054080000}"/>
    <cellStyle name="Millares 3 10 2" xfId="3549" xr:uid="{00000000-0005-0000-0000-000055080000}"/>
    <cellStyle name="Millares 3 11" xfId="1176" xr:uid="{00000000-0005-0000-0000-000056080000}"/>
    <cellStyle name="Millares 3 12" xfId="2758" xr:uid="{00000000-0005-0000-0000-000057080000}"/>
    <cellStyle name="Millares 3 13" xfId="293" xr:uid="{00000000-0005-0000-0000-000058080000}"/>
    <cellStyle name="Millares 3 14" xfId="4621" xr:uid="{EA1114A1-AA63-45F8-AE40-00BCB816A9EA}"/>
    <cellStyle name="Millares 3 14 2" xfId="4998" xr:uid="{1B8CCF62-44BE-4DBB-96FA-98AC183850E4}"/>
    <cellStyle name="Millares 3 15" xfId="4383" xr:uid="{9F681821-9351-44C2-BD73-110AA76F04A0}"/>
    <cellStyle name="Millares 3 2" xfId="4" xr:uid="{00000000-0005-0000-0000-000059080000}"/>
    <cellStyle name="Millares 3 2 10" xfId="1181" xr:uid="{00000000-0005-0000-0000-00005A080000}"/>
    <cellStyle name="Millares 3 2 11" xfId="2763" xr:uid="{00000000-0005-0000-0000-00005B080000}"/>
    <cellStyle name="Millares 3 2 12" xfId="300" xr:uid="{00000000-0005-0000-0000-00005C080000}"/>
    <cellStyle name="Millares 3 2 13" xfId="4648" xr:uid="{4E4D6CF1-10EF-46B1-A04F-C11D8CFAC911}"/>
    <cellStyle name="Millares 3 2 13 2" xfId="5021" xr:uid="{D5093C95-0FE1-4AEF-9AA0-214B65BD2493}"/>
    <cellStyle name="Millares 3 2 14" xfId="4415" xr:uid="{10EA1F64-63CD-4DA4-96C0-EA043EC38957}"/>
    <cellStyle name="Millares 3 2 2" xfId="319" xr:uid="{00000000-0005-0000-0000-00005D080000}"/>
    <cellStyle name="Millares 3 2 2 10" xfId="2776" xr:uid="{00000000-0005-0000-0000-00005E080000}"/>
    <cellStyle name="Millares 3 2 2 11" xfId="4591" xr:uid="{3C1DB0E8-73DC-4D14-A65D-C1840E6D7499}"/>
    <cellStyle name="Millares 3 2 2 12" xfId="4441" xr:uid="{E56AA445-0004-4730-868E-060E8FFF399C}"/>
    <cellStyle name="Millares 3 2 2 2" xfId="397" xr:uid="{00000000-0005-0000-0000-00005F080000}"/>
    <cellStyle name="Millares 3 2 2 2 10" xfId="4466" xr:uid="{86A11749-E63B-46CC-AAE6-B58A4E1506E1}"/>
    <cellStyle name="Millares 3 2 2 2 2" xfId="506" xr:uid="{00000000-0005-0000-0000-000060080000}"/>
    <cellStyle name="Millares 3 2 2 2 2 2" xfId="734" xr:uid="{00000000-0005-0000-0000-000061080000}"/>
    <cellStyle name="Millares 3 2 2 2 2 2 2" xfId="1134" xr:uid="{00000000-0005-0000-0000-000062080000}"/>
    <cellStyle name="Millares 3 2 2 2 2 2 2 2" xfId="2717" xr:uid="{00000000-0005-0000-0000-000063080000}"/>
    <cellStyle name="Millares 3 2 2 2 2 2 2 2 2" xfId="4299" xr:uid="{00000000-0005-0000-0000-000064080000}"/>
    <cellStyle name="Millares 3 2 2 2 2 2 2 3" xfId="1926" xr:uid="{00000000-0005-0000-0000-000065080000}"/>
    <cellStyle name="Millares 3 2 2 2 2 2 2 4" xfId="3508" xr:uid="{00000000-0005-0000-0000-000066080000}"/>
    <cellStyle name="Millares 3 2 2 2 2 2 3" xfId="2323" xr:uid="{00000000-0005-0000-0000-000067080000}"/>
    <cellStyle name="Millares 3 2 2 2 2 2 3 2" xfId="3905" xr:uid="{00000000-0005-0000-0000-000068080000}"/>
    <cellStyle name="Millares 3 2 2 2 2 2 4" xfId="1532" xr:uid="{00000000-0005-0000-0000-000069080000}"/>
    <cellStyle name="Millares 3 2 2 2 2 2 5" xfId="3114" xr:uid="{00000000-0005-0000-0000-00006A080000}"/>
    <cellStyle name="Millares 3 2 2 2 2 3" xfId="913" xr:uid="{00000000-0005-0000-0000-00006B080000}"/>
    <cellStyle name="Millares 3 2 2 2 2 3 2" xfId="2496" xr:uid="{00000000-0005-0000-0000-00006C080000}"/>
    <cellStyle name="Millares 3 2 2 2 2 3 2 2" xfId="4078" xr:uid="{00000000-0005-0000-0000-00006D080000}"/>
    <cellStyle name="Millares 3 2 2 2 2 3 3" xfId="1705" xr:uid="{00000000-0005-0000-0000-00006E080000}"/>
    <cellStyle name="Millares 3 2 2 2 2 3 4" xfId="3287" xr:uid="{00000000-0005-0000-0000-00006F080000}"/>
    <cellStyle name="Millares 3 2 2 2 2 4" xfId="2102" xr:uid="{00000000-0005-0000-0000-000070080000}"/>
    <cellStyle name="Millares 3 2 2 2 2 4 2" xfId="3684" xr:uid="{00000000-0005-0000-0000-000071080000}"/>
    <cellStyle name="Millares 3 2 2 2 2 5" xfId="1311" xr:uid="{00000000-0005-0000-0000-000072080000}"/>
    <cellStyle name="Millares 3 2 2 2 2 6" xfId="2893" xr:uid="{00000000-0005-0000-0000-000073080000}"/>
    <cellStyle name="Millares 3 2 2 2 3" xfId="583" xr:uid="{00000000-0005-0000-0000-000074080000}"/>
    <cellStyle name="Millares 3 2 2 2 3 2" xfId="990" xr:uid="{00000000-0005-0000-0000-000075080000}"/>
    <cellStyle name="Millares 3 2 2 2 3 2 2" xfId="2573" xr:uid="{00000000-0005-0000-0000-000076080000}"/>
    <cellStyle name="Millares 3 2 2 2 3 2 2 2" xfId="4155" xr:uid="{00000000-0005-0000-0000-000077080000}"/>
    <cellStyle name="Millares 3 2 2 2 3 2 3" xfId="1782" xr:uid="{00000000-0005-0000-0000-000078080000}"/>
    <cellStyle name="Millares 3 2 2 2 3 2 4" xfId="3364" xr:uid="{00000000-0005-0000-0000-000079080000}"/>
    <cellStyle name="Millares 3 2 2 2 3 3" xfId="2179" xr:uid="{00000000-0005-0000-0000-00007A080000}"/>
    <cellStyle name="Millares 3 2 2 2 3 3 2" xfId="3761" xr:uid="{00000000-0005-0000-0000-00007B080000}"/>
    <cellStyle name="Millares 3 2 2 2 3 4" xfId="1388" xr:uid="{00000000-0005-0000-0000-00007C080000}"/>
    <cellStyle name="Millares 3 2 2 2 3 5" xfId="2970" xr:uid="{00000000-0005-0000-0000-00007D080000}"/>
    <cellStyle name="Millares 3 2 2 2 4" xfId="658" xr:uid="{00000000-0005-0000-0000-00007E080000}"/>
    <cellStyle name="Millares 3 2 2 2 4 2" xfId="1058" xr:uid="{00000000-0005-0000-0000-00007F080000}"/>
    <cellStyle name="Millares 3 2 2 2 4 2 2" xfId="2641" xr:uid="{00000000-0005-0000-0000-000080080000}"/>
    <cellStyle name="Millares 3 2 2 2 4 2 2 2" xfId="4223" xr:uid="{00000000-0005-0000-0000-000081080000}"/>
    <cellStyle name="Millares 3 2 2 2 4 2 3" xfId="1850" xr:uid="{00000000-0005-0000-0000-000082080000}"/>
    <cellStyle name="Millares 3 2 2 2 4 2 4" xfId="3432" xr:uid="{00000000-0005-0000-0000-000083080000}"/>
    <cellStyle name="Millares 3 2 2 2 4 3" xfId="2247" xr:uid="{00000000-0005-0000-0000-000084080000}"/>
    <cellStyle name="Millares 3 2 2 2 4 3 2" xfId="3829" xr:uid="{00000000-0005-0000-0000-000085080000}"/>
    <cellStyle name="Millares 3 2 2 2 4 4" xfId="1456" xr:uid="{00000000-0005-0000-0000-000086080000}"/>
    <cellStyle name="Millares 3 2 2 2 4 5" xfId="3038" xr:uid="{00000000-0005-0000-0000-000087080000}"/>
    <cellStyle name="Millares 3 2 2 2 5" xfId="837" xr:uid="{00000000-0005-0000-0000-000088080000}"/>
    <cellStyle name="Millares 3 2 2 2 5 2" xfId="2420" xr:uid="{00000000-0005-0000-0000-000089080000}"/>
    <cellStyle name="Millares 3 2 2 2 5 2 2" xfId="4002" xr:uid="{00000000-0005-0000-0000-00008A080000}"/>
    <cellStyle name="Millares 3 2 2 2 5 3" xfId="1629" xr:uid="{00000000-0005-0000-0000-00008B080000}"/>
    <cellStyle name="Millares 3 2 2 2 5 4" xfId="3211" xr:uid="{00000000-0005-0000-0000-00008C080000}"/>
    <cellStyle name="Millares 3 2 2 2 6" xfId="2026" xr:uid="{00000000-0005-0000-0000-00008D080000}"/>
    <cellStyle name="Millares 3 2 2 2 6 2" xfId="3608" xr:uid="{00000000-0005-0000-0000-00008E080000}"/>
    <cellStyle name="Millares 3 2 2 2 7" xfId="1235" xr:uid="{00000000-0005-0000-0000-00008F080000}"/>
    <cellStyle name="Millares 3 2 2 2 8" xfId="2817" xr:uid="{00000000-0005-0000-0000-000090080000}"/>
    <cellStyle name="Millares 3 2 2 2 9" xfId="4592" xr:uid="{547A2AAA-490C-44F8-A08F-9C05B5455208}"/>
    <cellStyle name="Millares 3 2 2 3" xfId="465" xr:uid="{00000000-0005-0000-0000-000091080000}"/>
    <cellStyle name="Millares 3 2 2 3 2" xfId="693" xr:uid="{00000000-0005-0000-0000-000092080000}"/>
    <cellStyle name="Millares 3 2 2 3 2 2" xfId="1093" xr:uid="{00000000-0005-0000-0000-000093080000}"/>
    <cellStyle name="Millares 3 2 2 3 2 2 2" xfId="2676" xr:uid="{00000000-0005-0000-0000-000094080000}"/>
    <cellStyle name="Millares 3 2 2 3 2 2 2 2" xfId="4258" xr:uid="{00000000-0005-0000-0000-000095080000}"/>
    <cellStyle name="Millares 3 2 2 3 2 2 3" xfId="1885" xr:uid="{00000000-0005-0000-0000-000096080000}"/>
    <cellStyle name="Millares 3 2 2 3 2 2 4" xfId="3467" xr:uid="{00000000-0005-0000-0000-000097080000}"/>
    <cellStyle name="Millares 3 2 2 3 2 3" xfId="2282" xr:uid="{00000000-0005-0000-0000-000098080000}"/>
    <cellStyle name="Millares 3 2 2 3 2 3 2" xfId="3864" xr:uid="{00000000-0005-0000-0000-000099080000}"/>
    <cellStyle name="Millares 3 2 2 3 2 4" xfId="1491" xr:uid="{00000000-0005-0000-0000-00009A080000}"/>
    <cellStyle name="Millares 3 2 2 3 2 5" xfId="3073" xr:uid="{00000000-0005-0000-0000-00009B080000}"/>
    <cellStyle name="Millares 3 2 2 3 3" xfId="872" xr:uid="{00000000-0005-0000-0000-00009C080000}"/>
    <cellStyle name="Millares 3 2 2 3 3 2" xfId="2455" xr:uid="{00000000-0005-0000-0000-00009D080000}"/>
    <cellStyle name="Millares 3 2 2 3 3 2 2" xfId="4037" xr:uid="{00000000-0005-0000-0000-00009E080000}"/>
    <cellStyle name="Millares 3 2 2 3 3 3" xfId="1664" xr:uid="{00000000-0005-0000-0000-00009F080000}"/>
    <cellStyle name="Millares 3 2 2 3 3 4" xfId="3246" xr:uid="{00000000-0005-0000-0000-0000A0080000}"/>
    <cellStyle name="Millares 3 2 2 3 4" xfId="2061" xr:uid="{00000000-0005-0000-0000-0000A1080000}"/>
    <cellStyle name="Millares 3 2 2 3 4 2" xfId="3643" xr:uid="{00000000-0005-0000-0000-0000A2080000}"/>
    <cellStyle name="Millares 3 2 2 3 5" xfId="1270" xr:uid="{00000000-0005-0000-0000-0000A3080000}"/>
    <cellStyle name="Millares 3 2 2 3 6" xfId="2852" xr:uid="{00000000-0005-0000-0000-0000A4080000}"/>
    <cellStyle name="Millares 3 2 2 4" xfId="542" xr:uid="{00000000-0005-0000-0000-0000A5080000}"/>
    <cellStyle name="Millares 3 2 2 4 2" xfId="949" xr:uid="{00000000-0005-0000-0000-0000A6080000}"/>
    <cellStyle name="Millares 3 2 2 4 2 2" xfId="2532" xr:uid="{00000000-0005-0000-0000-0000A7080000}"/>
    <cellStyle name="Millares 3 2 2 4 2 2 2" xfId="4114" xr:uid="{00000000-0005-0000-0000-0000A8080000}"/>
    <cellStyle name="Millares 3 2 2 4 2 3" xfId="1741" xr:uid="{00000000-0005-0000-0000-0000A9080000}"/>
    <cellStyle name="Millares 3 2 2 4 2 4" xfId="3323" xr:uid="{00000000-0005-0000-0000-0000AA080000}"/>
    <cellStyle name="Millares 3 2 2 4 3" xfId="2138" xr:uid="{00000000-0005-0000-0000-0000AB080000}"/>
    <cellStyle name="Millares 3 2 2 4 3 2" xfId="3720" xr:uid="{00000000-0005-0000-0000-0000AC080000}"/>
    <cellStyle name="Millares 3 2 2 4 4" xfId="1347" xr:uid="{00000000-0005-0000-0000-0000AD080000}"/>
    <cellStyle name="Millares 3 2 2 4 5" xfId="2929" xr:uid="{00000000-0005-0000-0000-0000AE080000}"/>
    <cellStyle name="Millares 3 2 2 5" xfId="617" xr:uid="{00000000-0005-0000-0000-0000AF080000}"/>
    <cellStyle name="Millares 3 2 2 5 2" xfId="1017" xr:uid="{00000000-0005-0000-0000-0000B0080000}"/>
    <cellStyle name="Millares 3 2 2 5 2 2" xfId="2600" xr:uid="{00000000-0005-0000-0000-0000B1080000}"/>
    <cellStyle name="Millares 3 2 2 5 2 2 2" xfId="4182" xr:uid="{00000000-0005-0000-0000-0000B2080000}"/>
    <cellStyle name="Millares 3 2 2 5 2 3" xfId="1809" xr:uid="{00000000-0005-0000-0000-0000B3080000}"/>
    <cellStyle name="Millares 3 2 2 5 2 4" xfId="3391" xr:uid="{00000000-0005-0000-0000-0000B4080000}"/>
    <cellStyle name="Millares 3 2 2 5 3" xfId="2206" xr:uid="{00000000-0005-0000-0000-0000B5080000}"/>
    <cellStyle name="Millares 3 2 2 5 3 2" xfId="3788" xr:uid="{00000000-0005-0000-0000-0000B6080000}"/>
    <cellStyle name="Millares 3 2 2 5 4" xfId="1415" xr:uid="{00000000-0005-0000-0000-0000B7080000}"/>
    <cellStyle name="Millares 3 2 2 5 5" xfId="2997" xr:uid="{00000000-0005-0000-0000-0000B8080000}"/>
    <cellStyle name="Millares 3 2 2 6" xfId="769" xr:uid="{00000000-0005-0000-0000-0000B9080000}"/>
    <cellStyle name="Millares 3 2 2 6 2" xfId="1169" xr:uid="{00000000-0005-0000-0000-0000BA080000}"/>
    <cellStyle name="Millares 3 2 2 6 2 2" xfId="2752" xr:uid="{00000000-0005-0000-0000-0000BB080000}"/>
    <cellStyle name="Millares 3 2 2 6 2 2 2" xfId="4334" xr:uid="{00000000-0005-0000-0000-0000BC080000}"/>
    <cellStyle name="Millares 3 2 2 6 2 3" xfId="1961" xr:uid="{00000000-0005-0000-0000-0000BD080000}"/>
    <cellStyle name="Millares 3 2 2 6 2 4" xfId="3543" xr:uid="{00000000-0005-0000-0000-0000BE080000}"/>
    <cellStyle name="Millares 3 2 2 6 3" xfId="2358" xr:uid="{00000000-0005-0000-0000-0000BF080000}"/>
    <cellStyle name="Millares 3 2 2 6 3 2" xfId="3940" xr:uid="{00000000-0005-0000-0000-0000C0080000}"/>
    <cellStyle name="Millares 3 2 2 6 4" xfId="1567" xr:uid="{00000000-0005-0000-0000-0000C1080000}"/>
    <cellStyle name="Millares 3 2 2 6 5" xfId="3149" xr:uid="{00000000-0005-0000-0000-0000C2080000}"/>
    <cellStyle name="Millares 3 2 2 7" xfId="796" xr:uid="{00000000-0005-0000-0000-0000C3080000}"/>
    <cellStyle name="Millares 3 2 2 7 2" xfId="2379" xr:uid="{00000000-0005-0000-0000-0000C4080000}"/>
    <cellStyle name="Millares 3 2 2 7 2 2" xfId="3961" xr:uid="{00000000-0005-0000-0000-0000C5080000}"/>
    <cellStyle name="Millares 3 2 2 7 3" xfId="1588" xr:uid="{00000000-0005-0000-0000-0000C6080000}"/>
    <cellStyle name="Millares 3 2 2 7 4" xfId="3170" xr:uid="{00000000-0005-0000-0000-0000C7080000}"/>
    <cellStyle name="Millares 3 2 2 8" xfId="1985" xr:uid="{00000000-0005-0000-0000-0000C8080000}"/>
    <cellStyle name="Millares 3 2 2 8 2" xfId="3567" xr:uid="{00000000-0005-0000-0000-0000C9080000}"/>
    <cellStyle name="Millares 3 2 2 9" xfId="1194" xr:uid="{00000000-0005-0000-0000-0000CA080000}"/>
    <cellStyle name="Millares 3 2 3" xfId="378" xr:uid="{00000000-0005-0000-0000-0000CB080000}"/>
    <cellStyle name="Millares 3 2 3 2" xfId="493" xr:uid="{00000000-0005-0000-0000-0000CC080000}"/>
    <cellStyle name="Millares 3 2 3 2 2" xfId="721" xr:uid="{00000000-0005-0000-0000-0000CD080000}"/>
    <cellStyle name="Millares 3 2 3 2 2 2" xfId="1121" xr:uid="{00000000-0005-0000-0000-0000CE080000}"/>
    <cellStyle name="Millares 3 2 3 2 2 2 2" xfId="2704" xr:uid="{00000000-0005-0000-0000-0000CF080000}"/>
    <cellStyle name="Millares 3 2 3 2 2 2 2 2" xfId="4286" xr:uid="{00000000-0005-0000-0000-0000D0080000}"/>
    <cellStyle name="Millares 3 2 3 2 2 2 3" xfId="1913" xr:uid="{00000000-0005-0000-0000-0000D1080000}"/>
    <cellStyle name="Millares 3 2 3 2 2 2 4" xfId="3495" xr:uid="{00000000-0005-0000-0000-0000D2080000}"/>
    <cellStyle name="Millares 3 2 3 2 2 3" xfId="2310" xr:uid="{00000000-0005-0000-0000-0000D3080000}"/>
    <cellStyle name="Millares 3 2 3 2 2 3 2" xfId="3892" xr:uid="{00000000-0005-0000-0000-0000D4080000}"/>
    <cellStyle name="Millares 3 2 3 2 2 4" xfId="1519" xr:uid="{00000000-0005-0000-0000-0000D5080000}"/>
    <cellStyle name="Millares 3 2 3 2 2 5" xfId="3101" xr:uid="{00000000-0005-0000-0000-0000D6080000}"/>
    <cellStyle name="Millares 3 2 3 2 3" xfId="900" xr:uid="{00000000-0005-0000-0000-0000D7080000}"/>
    <cellStyle name="Millares 3 2 3 2 3 2" xfId="2483" xr:uid="{00000000-0005-0000-0000-0000D8080000}"/>
    <cellStyle name="Millares 3 2 3 2 3 2 2" xfId="4065" xr:uid="{00000000-0005-0000-0000-0000D9080000}"/>
    <cellStyle name="Millares 3 2 3 2 3 3" xfId="1692" xr:uid="{00000000-0005-0000-0000-0000DA080000}"/>
    <cellStyle name="Millares 3 2 3 2 3 4" xfId="3274" xr:uid="{00000000-0005-0000-0000-0000DB080000}"/>
    <cellStyle name="Millares 3 2 3 2 4" xfId="2089" xr:uid="{00000000-0005-0000-0000-0000DC080000}"/>
    <cellStyle name="Millares 3 2 3 2 4 2" xfId="3671" xr:uid="{00000000-0005-0000-0000-0000DD080000}"/>
    <cellStyle name="Millares 3 2 3 2 5" xfId="1298" xr:uid="{00000000-0005-0000-0000-0000DE080000}"/>
    <cellStyle name="Millares 3 2 3 2 6" xfId="2880" xr:uid="{00000000-0005-0000-0000-0000DF080000}"/>
    <cellStyle name="Millares 3 2 3 3" xfId="570" xr:uid="{00000000-0005-0000-0000-0000E0080000}"/>
    <cellStyle name="Millares 3 2 3 3 2" xfId="977" xr:uid="{00000000-0005-0000-0000-0000E1080000}"/>
    <cellStyle name="Millares 3 2 3 3 2 2" xfId="2560" xr:uid="{00000000-0005-0000-0000-0000E2080000}"/>
    <cellStyle name="Millares 3 2 3 3 2 2 2" xfId="4142" xr:uid="{00000000-0005-0000-0000-0000E3080000}"/>
    <cellStyle name="Millares 3 2 3 3 2 3" xfId="1769" xr:uid="{00000000-0005-0000-0000-0000E4080000}"/>
    <cellStyle name="Millares 3 2 3 3 2 4" xfId="3351" xr:uid="{00000000-0005-0000-0000-0000E5080000}"/>
    <cellStyle name="Millares 3 2 3 3 3" xfId="2166" xr:uid="{00000000-0005-0000-0000-0000E6080000}"/>
    <cellStyle name="Millares 3 2 3 3 3 2" xfId="3748" xr:uid="{00000000-0005-0000-0000-0000E7080000}"/>
    <cellStyle name="Millares 3 2 3 3 4" xfId="1375" xr:uid="{00000000-0005-0000-0000-0000E8080000}"/>
    <cellStyle name="Millares 3 2 3 3 5" xfId="2957" xr:uid="{00000000-0005-0000-0000-0000E9080000}"/>
    <cellStyle name="Millares 3 2 3 4" xfId="645" xr:uid="{00000000-0005-0000-0000-0000EA080000}"/>
    <cellStyle name="Millares 3 2 3 4 2" xfId="1045" xr:uid="{00000000-0005-0000-0000-0000EB080000}"/>
    <cellStyle name="Millares 3 2 3 4 2 2" xfId="2628" xr:uid="{00000000-0005-0000-0000-0000EC080000}"/>
    <cellStyle name="Millares 3 2 3 4 2 2 2" xfId="4210" xr:uid="{00000000-0005-0000-0000-0000ED080000}"/>
    <cellStyle name="Millares 3 2 3 4 2 3" xfId="1837" xr:uid="{00000000-0005-0000-0000-0000EE080000}"/>
    <cellStyle name="Millares 3 2 3 4 2 4" xfId="3419" xr:uid="{00000000-0005-0000-0000-0000EF080000}"/>
    <cellStyle name="Millares 3 2 3 4 3" xfId="2234" xr:uid="{00000000-0005-0000-0000-0000F0080000}"/>
    <cellStyle name="Millares 3 2 3 4 3 2" xfId="3816" xr:uid="{00000000-0005-0000-0000-0000F1080000}"/>
    <cellStyle name="Millares 3 2 3 4 4" xfId="1443" xr:uid="{00000000-0005-0000-0000-0000F2080000}"/>
    <cellStyle name="Millares 3 2 3 4 5" xfId="3025" xr:uid="{00000000-0005-0000-0000-0000F3080000}"/>
    <cellStyle name="Millares 3 2 3 5" xfId="824" xr:uid="{00000000-0005-0000-0000-0000F4080000}"/>
    <cellStyle name="Millares 3 2 3 5 2" xfId="2407" xr:uid="{00000000-0005-0000-0000-0000F5080000}"/>
    <cellStyle name="Millares 3 2 3 5 2 2" xfId="3989" xr:uid="{00000000-0005-0000-0000-0000F6080000}"/>
    <cellStyle name="Millares 3 2 3 5 3" xfId="1616" xr:uid="{00000000-0005-0000-0000-0000F7080000}"/>
    <cellStyle name="Millares 3 2 3 5 4" xfId="3198" xr:uid="{00000000-0005-0000-0000-0000F8080000}"/>
    <cellStyle name="Millares 3 2 3 6" xfId="2013" xr:uid="{00000000-0005-0000-0000-0000F9080000}"/>
    <cellStyle name="Millares 3 2 3 6 2" xfId="3595" xr:uid="{00000000-0005-0000-0000-0000FA080000}"/>
    <cellStyle name="Millares 3 2 3 7" xfId="1222" xr:uid="{00000000-0005-0000-0000-0000FB080000}"/>
    <cellStyle name="Millares 3 2 3 8" xfId="2804" xr:uid="{00000000-0005-0000-0000-0000FC080000}"/>
    <cellStyle name="Millares 3 2 4" xfId="452" xr:uid="{00000000-0005-0000-0000-0000FD080000}"/>
    <cellStyle name="Millares 3 2 4 2" xfId="680" xr:uid="{00000000-0005-0000-0000-0000FE080000}"/>
    <cellStyle name="Millares 3 2 4 2 2" xfId="1080" xr:uid="{00000000-0005-0000-0000-0000FF080000}"/>
    <cellStyle name="Millares 3 2 4 2 2 2" xfId="2663" xr:uid="{00000000-0005-0000-0000-000000090000}"/>
    <cellStyle name="Millares 3 2 4 2 2 2 2" xfId="4245" xr:uid="{00000000-0005-0000-0000-000001090000}"/>
    <cellStyle name="Millares 3 2 4 2 2 3" xfId="1872" xr:uid="{00000000-0005-0000-0000-000002090000}"/>
    <cellStyle name="Millares 3 2 4 2 2 4" xfId="3454" xr:uid="{00000000-0005-0000-0000-000003090000}"/>
    <cellStyle name="Millares 3 2 4 2 3" xfId="2269" xr:uid="{00000000-0005-0000-0000-000004090000}"/>
    <cellStyle name="Millares 3 2 4 2 3 2" xfId="3851" xr:uid="{00000000-0005-0000-0000-000005090000}"/>
    <cellStyle name="Millares 3 2 4 2 4" xfId="1478" xr:uid="{00000000-0005-0000-0000-000006090000}"/>
    <cellStyle name="Millares 3 2 4 2 5" xfId="3060" xr:uid="{00000000-0005-0000-0000-000007090000}"/>
    <cellStyle name="Millares 3 2 4 3" xfId="859" xr:uid="{00000000-0005-0000-0000-000008090000}"/>
    <cellStyle name="Millares 3 2 4 3 2" xfId="2442" xr:uid="{00000000-0005-0000-0000-000009090000}"/>
    <cellStyle name="Millares 3 2 4 3 2 2" xfId="4024" xr:uid="{00000000-0005-0000-0000-00000A090000}"/>
    <cellStyle name="Millares 3 2 4 3 3" xfId="1651" xr:uid="{00000000-0005-0000-0000-00000B090000}"/>
    <cellStyle name="Millares 3 2 4 3 4" xfId="3233" xr:uid="{00000000-0005-0000-0000-00000C090000}"/>
    <cellStyle name="Millares 3 2 4 4" xfId="2048" xr:uid="{00000000-0005-0000-0000-00000D090000}"/>
    <cellStyle name="Millares 3 2 4 4 2" xfId="3630" xr:uid="{00000000-0005-0000-0000-00000E090000}"/>
    <cellStyle name="Millares 3 2 4 5" xfId="1257" xr:uid="{00000000-0005-0000-0000-00000F090000}"/>
    <cellStyle name="Millares 3 2 4 6" xfId="2839" xr:uid="{00000000-0005-0000-0000-000010090000}"/>
    <cellStyle name="Millares 3 2 5" xfId="529" xr:uid="{00000000-0005-0000-0000-000011090000}"/>
    <cellStyle name="Millares 3 2 5 2" xfId="936" xr:uid="{00000000-0005-0000-0000-000012090000}"/>
    <cellStyle name="Millares 3 2 5 2 2" xfId="2519" xr:uid="{00000000-0005-0000-0000-000013090000}"/>
    <cellStyle name="Millares 3 2 5 2 2 2" xfId="4101" xr:uid="{00000000-0005-0000-0000-000014090000}"/>
    <cellStyle name="Millares 3 2 5 2 3" xfId="1728" xr:uid="{00000000-0005-0000-0000-000015090000}"/>
    <cellStyle name="Millares 3 2 5 2 4" xfId="3310" xr:uid="{00000000-0005-0000-0000-000016090000}"/>
    <cellStyle name="Millares 3 2 5 3" xfId="2125" xr:uid="{00000000-0005-0000-0000-000017090000}"/>
    <cellStyle name="Millares 3 2 5 3 2" xfId="3707" xr:uid="{00000000-0005-0000-0000-000018090000}"/>
    <cellStyle name="Millares 3 2 5 4" xfId="1334" xr:uid="{00000000-0005-0000-0000-000019090000}"/>
    <cellStyle name="Millares 3 2 5 5" xfId="2916" xr:uid="{00000000-0005-0000-0000-00001A090000}"/>
    <cellStyle name="Millares 3 2 6" xfId="604" xr:uid="{00000000-0005-0000-0000-00001B090000}"/>
    <cellStyle name="Millares 3 2 6 2" xfId="1004" xr:uid="{00000000-0005-0000-0000-00001C090000}"/>
    <cellStyle name="Millares 3 2 6 2 2" xfId="2587" xr:uid="{00000000-0005-0000-0000-00001D090000}"/>
    <cellStyle name="Millares 3 2 6 2 2 2" xfId="4169" xr:uid="{00000000-0005-0000-0000-00001E090000}"/>
    <cellStyle name="Millares 3 2 6 2 3" xfId="1796" xr:uid="{00000000-0005-0000-0000-00001F090000}"/>
    <cellStyle name="Millares 3 2 6 2 4" xfId="3378" xr:uid="{00000000-0005-0000-0000-000020090000}"/>
    <cellStyle name="Millares 3 2 6 3" xfId="2193" xr:uid="{00000000-0005-0000-0000-000021090000}"/>
    <cellStyle name="Millares 3 2 6 3 2" xfId="3775" xr:uid="{00000000-0005-0000-0000-000022090000}"/>
    <cellStyle name="Millares 3 2 6 4" xfId="1402" xr:uid="{00000000-0005-0000-0000-000023090000}"/>
    <cellStyle name="Millares 3 2 6 5" xfId="2984" xr:uid="{00000000-0005-0000-0000-000024090000}"/>
    <cellStyle name="Millares 3 2 7" xfId="756" xr:uid="{00000000-0005-0000-0000-000025090000}"/>
    <cellStyle name="Millares 3 2 7 2" xfId="1156" xr:uid="{00000000-0005-0000-0000-000026090000}"/>
    <cellStyle name="Millares 3 2 7 2 2" xfId="2739" xr:uid="{00000000-0005-0000-0000-000027090000}"/>
    <cellStyle name="Millares 3 2 7 2 2 2" xfId="4321" xr:uid="{00000000-0005-0000-0000-000028090000}"/>
    <cellStyle name="Millares 3 2 7 2 3" xfId="1948" xr:uid="{00000000-0005-0000-0000-000029090000}"/>
    <cellStyle name="Millares 3 2 7 2 4" xfId="3530" xr:uid="{00000000-0005-0000-0000-00002A090000}"/>
    <cellStyle name="Millares 3 2 7 3" xfId="2345" xr:uid="{00000000-0005-0000-0000-00002B090000}"/>
    <cellStyle name="Millares 3 2 7 3 2" xfId="3927" xr:uid="{00000000-0005-0000-0000-00002C090000}"/>
    <cellStyle name="Millares 3 2 7 4" xfId="1554" xr:uid="{00000000-0005-0000-0000-00002D090000}"/>
    <cellStyle name="Millares 3 2 7 5" xfId="3136" xr:uid="{00000000-0005-0000-0000-00002E090000}"/>
    <cellStyle name="Millares 3 2 8" xfId="783" xr:uid="{00000000-0005-0000-0000-00002F090000}"/>
    <cellStyle name="Millares 3 2 8 2" xfId="2366" xr:uid="{00000000-0005-0000-0000-000030090000}"/>
    <cellStyle name="Millares 3 2 8 2 2" xfId="3948" xr:uid="{00000000-0005-0000-0000-000031090000}"/>
    <cellStyle name="Millares 3 2 8 3" xfId="1575" xr:uid="{00000000-0005-0000-0000-000032090000}"/>
    <cellStyle name="Millares 3 2 8 4" xfId="3157" xr:uid="{00000000-0005-0000-0000-000033090000}"/>
    <cellStyle name="Millares 3 2 9" xfId="1972" xr:uid="{00000000-0005-0000-0000-000034090000}"/>
    <cellStyle name="Millares 3 2 9 2" xfId="3554" xr:uid="{00000000-0005-0000-0000-000035090000}"/>
    <cellStyle name="Millares 3 3" xfId="311" xr:uid="{00000000-0005-0000-0000-000036090000}"/>
    <cellStyle name="Millares 3 3 10" xfId="2771" xr:uid="{00000000-0005-0000-0000-000037090000}"/>
    <cellStyle name="Millares 3 3 11" xfId="4593" xr:uid="{30AC3528-2052-4D93-929F-84F2CB9D6E2E}"/>
    <cellStyle name="Millares 3 3 12" xfId="4430" xr:uid="{2387DE9C-FA53-4024-B02B-098CB9C9F92A}"/>
    <cellStyle name="Millares 3 3 2" xfId="389" xr:uid="{00000000-0005-0000-0000-000038090000}"/>
    <cellStyle name="Millares 3 3 2 10" xfId="4459" xr:uid="{8856C176-B96B-4C85-AD09-2B41A1125146}"/>
    <cellStyle name="Millares 3 3 2 2" xfId="501" xr:uid="{00000000-0005-0000-0000-000039090000}"/>
    <cellStyle name="Millares 3 3 2 2 2" xfId="729" xr:uid="{00000000-0005-0000-0000-00003A090000}"/>
    <cellStyle name="Millares 3 3 2 2 2 2" xfId="1129" xr:uid="{00000000-0005-0000-0000-00003B090000}"/>
    <cellStyle name="Millares 3 3 2 2 2 2 2" xfId="2712" xr:uid="{00000000-0005-0000-0000-00003C090000}"/>
    <cellStyle name="Millares 3 3 2 2 2 2 2 2" xfId="4294" xr:uid="{00000000-0005-0000-0000-00003D090000}"/>
    <cellStyle name="Millares 3 3 2 2 2 2 3" xfId="1921" xr:uid="{00000000-0005-0000-0000-00003E090000}"/>
    <cellStyle name="Millares 3 3 2 2 2 2 4" xfId="3503" xr:uid="{00000000-0005-0000-0000-00003F090000}"/>
    <cellStyle name="Millares 3 3 2 2 2 3" xfId="2318" xr:uid="{00000000-0005-0000-0000-000040090000}"/>
    <cellStyle name="Millares 3 3 2 2 2 3 2" xfId="3900" xr:uid="{00000000-0005-0000-0000-000041090000}"/>
    <cellStyle name="Millares 3 3 2 2 2 4" xfId="1527" xr:uid="{00000000-0005-0000-0000-000042090000}"/>
    <cellStyle name="Millares 3 3 2 2 2 5" xfId="3109" xr:uid="{00000000-0005-0000-0000-000043090000}"/>
    <cellStyle name="Millares 3 3 2 2 3" xfId="908" xr:uid="{00000000-0005-0000-0000-000044090000}"/>
    <cellStyle name="Millares 3 3 2 2 3 2" xfId="2491" xr:uid="{00000000-0005-0000-0000-000045090000}"/>
    <cellStyle name="Millares 3 3 2 2 3 2 2" xfId="4073" xr:uid="{00000000-0005-0000-0000-000046090000}"/>
    <cellStyle name="Millares 3 3 2 2 3 3" xfId="1700" xr:uid="{00000000-0005-0000-0000-000047090000}"/>
    <cellStyle name="Millares 3 3 2 2 3 4" xfId="3282" xr:uid="{00000000-0005-0000-0000-000048090000}"/>
    <cellStyle name="Millares 3 3 2 2 4" xfId="2097" xr:uid="{00000000-0005-0000-0000-000049090000}"/>
    <cellStyle name="Millares 3 3 2 2 4 2" xfId="3679" xr:uid="{00000000-0005-0000-0000-00004A090000}"/>
    <cellStyle name="Millares 3 3 2 2 5" xfId="1306" xr:uid="{00000000-0005-0000-0000-00004B090000}"/>
    <cellStyle name="Millares 3 3 2 2 6" xfId="2888" xr:uid="{00000000-0005-0000-0000-00004C090000}"/>
    <cellStyle name="Millares 3 3 2 3" xfId="578" xr:uid="{00000000-0005-0000-0000-00004D090000}"/>
    <cellStyle name="Millares 3 3 2 3 2" xfId="985" xr:uid="{00000000-0005-0000-0000-00004E090000}"/>
    <cellStyle name="Millares 3 3 2 3 2 2" xfId="2568" xr:uid="{00000000-0005-0000-0000-00004F090000}"/>
    <cellStyle name="Millares 3 3 2 3 2 2 2" xfId="4150" xr:uid="{00000000-0005-0000-0000-000050090000}"/>
    <cellStyle name="Millares 3 3 2 3 2 3" xfId="1777" xr:uid="{00000000-0005-0000-0000-000051090000}"/>
    <cellStyle name="Millares 3 3 2 3 2 4" xfId="3359" xr:uid="{00000000-0005-0000-0000-000052090000}"/>
    <cellStyle name="Millares 3 3 2 3 3" xfId="2174" xr:uid="{00000000-0005-0000-0000-000053090000}"/>
    <cellStyle name="Millares 3 3 2 3 3 2" xfId="3756" xr:uid="{00000000-0005-0000-0000-000054090000}"/>
    <cellStyle name="Millares 3 3 2 3 4" xfId="1383" xr:uid="{00000000-0005-0000-0000-000055090000}"/>
    <cellStyle name="Millares 3 3 2 3 5" xfId="2965" xr:uid="{00000000-0005-0000-0000-000056090000}"/>
    <cellStyle name="Millares 3 3 2 4" xfId="653" xr:uid="{00000000-0005-0000-0000-000057090000}"/>
    <cellStyle name="Millares 3 3 2 4 2" xfId="1053" xr:uid="{00000000-0005-0000-0000-000058090000}"/>
    <cellStyle name="Millares 3 3 2 4 2 2" xfId="2636" xr:uid="{00000000-0005-0000-0000-000059090000}"/>
    <cellStyle name="Millares 3 3 2 4 2 2 2" xfId="4218" xr:uid="{00000000-0005-0000-0000-00005A090000}"/>
    <cellStyle name="Millares 3 3 2 4 2 3" xfId="1845" xr:uid="{00000000-0005-0000-0000-00005B090000}"/>
    <cellStyle name="Millares 3 3 2 4 2 4" xfId="3427" xr:uid="{00000000-0005-0000-0000-00005C090000}"/>
    <cellStyle name="Millares 3 3 2 4 3" xfId="2242" xr:uid="{00000000-0005-0000-0000-00005D090000}"/>
    <cellStyle name="Millares 3 3 2 4 3 2" xfId="3824" xr:uid="{00000000-0005-0000-0000-00005E090000}"/>
    <cellStyle name="Millares 3 3 2 4 4" xfId="1451" xr:uid="{00000000-0005-0000-0000-00005F090000}"/>
    <cellStyle name="Millares 3 3 2 4 5" xfId="3033" xr:uid="{00000000-0005-0000-0000-000060090000}"/>
    <cellStyle name="Millares 3 3 2 5" xfId="832" xr:uid="{00000000-0005-0000-0000-000061090000}"/>
    <cellStyle name="Millares 3 3 2 5 2" xfId="2415" xr:uid="{00000000-0005-0000-0000-000062090000}"/>
    <cellStyle name="Millares 3 3 2 5 2 2" xfId="3997" xr:uid="{00000000-0005-0000-0000-000063090000}"/>
    <cellStyle name="Millares 3 3 2 5 3" xfId="1624" xr:uid="{00000000-0005-0000-0000-000064090000}"/>
    <cellStyle name="Millares 3 3 2 5 4" xfId="3206" xr:uid="{00000000-0005-0000-0000-000065090000}"/>
    <cellStyle name="Millares 3 3 2 6" xfId="2021" xr:uid="{00000000-0005-0000-0000-000066090000}"/>
    <cellStyle name="Millares 3 3 2 6 2" xfId="3603" xr:uid="{00000000-0005-0000-0000-000067090000}"/>
    <cellStyle name="Millares 3 3 2 7" xfId="1230" xr:uid="{00000000-0005-0000-0000-000068090000}"/>
    <cellStyle name="Millares 3 3 2 8" xfId="2812" xr:uid="{00000000-0005-0000-0000-000069090000}"/>
    <cellStyle name="Millares 3 3 2 9" xfId="4594" xr:uid="{29A4882A-0EF9-43D4-8A9B-0B21A2517229}"/>
    <cellStyle name="Millares 3 3 3" xfId="460" xr:uid="{00000000-0005-0000-0000-00006A090000}"/>
    <cellStyle name="Millares 3 3 3 2" xfId="688" xr:uid="{00000000-0005-0000-0000-00006B090000}"/>
    <cellStyle name="Millares 3 3 3 2 2" xfId="1088" xr:uid="{00000000-0005-0000-0000-00006C090000}"/>
    <cellStyle name="Millares 3 3 3 2 2 2" xfId="2671" xr:uid="{00000000-0005-0000-0000-00006D090000}"/>
    <cellStyle name="Millares 3 3 3 2 2 2 2" xfId="4253" xr:uid="{00000000-0005-0000-0000-00006E090000}"/>
    <cellStyle name="Millares 3 3 3 2 2 3" xfId="1880" xr:uid="{00000000-0005-0000-0000-00006F090000}"/>
    <cellStyle name="Millares 3 3 3 2 2 4" xfId="3462" xr:uid="{00000000-0005-0000-0000-000070090000}"/>
    <cellStyle name="Millares 3 3 3 2 3" xfId="2277" xr:uid="{00000000-0005-0000-0000-000071090000}"/>
    <cellStyle name="Millares 3 3 3 2 3 2" xfId="3859" xr:uid="{00000000-0005-0000-0000-000072090000}"/>
    <cellStyle name="Millares 3 3 3 2 4" xfId="1486" xr:uid="{00000000-0005-0000-0000-000073090000}"/>
    <cellStyle name="Millares 3 3 3 2 5" xfId="3068" xr:uid="{00000000-0005-0000-0000-000074090000}"/>
    <cellStyle name="Millares 3 3 3 3" xfId="867" xr:uid="{00000000-0005-0000-0000-000075090000}"/>
    <cellStyle name="Millares 3 3 3 3 2" xfId="2450" xr:uid="{00000000-0005-0000-0000-000076090000}"/>
    <cellStyle name="Millares 3 3 3 3 2 2" xfId="4032" xr:uid="{00000000-0005-0000-0000-000077090000}"/>
    <cellStyle name="Millares 3 3 3 3 3" xfId="1659" xr:uid="{00000000-0005-0000-0000-000078090000}"/>
    <cellStyle name="Millares 3 3 3 3 4" xfId="3241" xr:uid="{00000000-0005-0000-0000-000079090000}"/>
    <cellStyle name="Millares 3 3 3 4" xfId="2056" xr:uid="{00000000-0005-0000-0000-00007A090000}"/>
    <cellStyle name="Millares 3 3 3 4 2" xfId="3638" xr:uid="{00000000-0005-0000-0000-00007B090000}"/>
    <cellStyle name="Millares 3 3 3 5" xfId="1265" xr:uid="{00000000-0005-0000-0000-00007C090000}"/>
    <cellStyle name="Millares 3 3 3 6" xfId="2847" xr:uid="{00000000-0005-0000-0000-00007D090000}"/>
    <cellStyle name="Millares 3 3 4" xfId="537" xr:uid="{00000000-0005-0000-0000-00007E090000}"/>
    <cellStyle name="Millares 3 3 4 2" xfId="944" xr:uid="{00000000-0005-0000-0000-00007F090000}"/>
    <cellStyle name="Millares 3 3 4 2 2" xfId="2527" xr:uid="{00000000-0005-0000-0000-000080090000}"/>
    <cellStyle name="Millares 3 3 4 2 2 2" xfId="4109" xr:uid="{00000000-0005-0000-0000-000081090000}"/>
    <cellStyle name="Millares 3 3 4 2 3" xfId="1736" xr:uid="{00000000-0005-0000-0000-000082090000}"/>
    <cellStyle name="Millares 3 3 4 2 4" xfId="3318" xr:uid="{00000000-0005-0000-0000-000083090000}"/>
    <cellStyle name="Millares 3 3 4 3" xfId="2133" xr:uid="{00000000-0005-0000-0000-000084090000}"/>
    <cellStyle name="Millares 3 3 4 3 2" xfId="3715" xr:uid="{00000000-0005-0000-0000-000085090000}"/>
    <cellStyle name="Millares 3 3 4 4" xfId="1342" xr:uid="{00000000-0005-0000-0000-000086090000}"/>
    <cellStyle name="Millares 3 3 4 5" xfId="2924" xr:uid="{00000000-0005-0000-0000-000087090000}"/>
    <cellStyle name="Millares 3 3 5" xfId="612" xr:uid="{00000000-0005-0000-0000-000088090000}"/>
    <cellStyle name="Millares 3 3 5 2" xfId="1012" xr:uid="{00000000-0005-0000-0000-000089090000}"/>
    <cellStyle name="Millares 3 3 5 2 2" xfId="2595" xr:uid="{00000000-0005-0000-0000-00008A090000}"/>
    <cellStyle name="Millares 3 3 5 2 2 2" xfId="4177" xr:uid="{00000000-0005-0000-0000-00008B090000}"/>
    <cellStyle name="Millares 3 3 5 2 3" xfId="1804" xr:uid="{00000000-0005-0000-0000-00008C090000}"/>
    <cellStyle name="Millares 3 3 5 2 4" xfId="3386" xr:uid="{00000000-0005-0000-0000-00008D090000}"/>
    <cellStyle name="Millares 3 3 5 3" xfId="2201" xr:uid="{00000000-0005-0000-0000-00008E090000}"/>
    <cellStyle name="Millares 3 3 5 3 2" xfId="3783" xr:uid="{00000000-0005-0000-0000-00008F090000}"/>
    <cellStyle name="Millares 3 3 5 4" xfId="1410" xr:uid="{00000000-0005-0000-0000-000090090000}"/>
    <cellStyle name="Millares 3 3 5 5" xfId="2992" xr:uid="{00000000-0005-0000-0000-000091090000}"/>
    <cellStyle name="Millares 3 3 6" xfId="764" xr:uid="{00000000-0005-0000-0000-000092090000}"/>
    <cellStyle name="Millares 3 3 6 2" xfId="1164" xr:uid="{00000000-0005-0000-0000-000093090000}"/>
    <cellStyle name="Millares 3 3 6 2 2" xfId="2747" xr:uid="{00000000-0005-0000-0000-000094090000}"/>
    <cellStyle name="Millares 3 3 6 2 2 2" xfId="4329" xr:uid="{00000000-0005-0000-0000-000095090000}"/>
    <cellStyle name="Millares 3 3 6 2 3" xfId="1956" xr:uid="{00000000-0005-0000-0000-000096090000}"/>
    <cellStyle name="Millares 3 3 6 2 4" xfId="3538" xr:uid="{00000000-0005-0000-0000-000097090000}"/>
    <cellStyle name="Millares 3 3 6 3" xfId="2353" xr:uid="{00000000-0005-0000-0000-000098090000}"/>
    <cellStyle name="Millares 3 3 6 3 2" xfId="3935" xr:uid="{00000000-0005-0000-0000-000099090000}"/>
    <cellStyle name="Millares 3 3 6 4" xfId="1562" xr:uid="{00000000-0005-0000-0000-00009A090000}"/>
    <cellStyle name="Millares 3 3 6 5" xfId="3144" xr:uid="{00000000-0005-0000-0000-00009B090000}"/>
    <cellStyle name="Millares 3 3 7" xfId="791" xr:uid="{00000000-0005-0000-0000-00009C090000}"/>
    <cellStyle name="Millares 3 3 7 2" xfId="2374" xr:uid="{00000000-0005-0000-0000-00009D090000}"/>
    <cellStyle name="Millares 3 3 7 2 2" xfId="3956" xr:uid="{00000000-0005-0000-0000-00009E090000}"/>
    <cellStyle name="Millares 3 3 7 3" xfId="1583" xr:uid="{00000000-0005-0000-0000-00009F090000}"/>
    <cellStyle name="Millares 3 3 7 4" xfId="3165" xr:uid="{00000000-0005-0000-0000-0000A0090000}"/>
    <cellStyle name="Millares 3 3 8" xfId="1980" xr:uid="{00000000-0005-0000-0000-0000A1090000}"/>
    <cellStyle name="Millares 3 3 8 2" xfId="3562" xr:uid="{00000000-0005-0000-0000-0000A2090000}"/>
    <cellStyle name="Millares 3 3 9" xfId="1189" xr:uid="{00000000-0005-0000-0000-0000A3090000}"/>
    <cellStyle name="Millares 3 4" xfId="370" xr:uid="{00000000-0005-0000-0000-0000A4090000}"/>
    <cellStyle name="Millares 3 4 2" xfId="488" xr:uid="{00000000-0005-0000-0000-0000A5090000}"/>
    <cellStyle name="Millares 3 4 2 2" xfId="716" xr:uid="{00000000-0005-0000-0000-0000A6090000}"/>
    <cellStyle name="Millares 3 4 2 2 2" xfId="1116" xr:uid="{00000000-0005-0000-0000-0000A7090000}"/>
    <cellStyle name="Millares 3 4 2 2 2 2" xfId="2699" xr:uid="{00000000-0005-0000-0000-0000A8090000}"/>
    <cellStyle name="Millares 3 4 2 2 2 2 2" xfId="4281" xr:uid="{00000000-0005-0000-0000-0000A9090000}"/>
    <cellStyle name="Millares 3 4 2 2 2 3" xfId="1908" xr:uid="{00000000-0005-0000-0000-0000AA090000}"/>
    <cellStyle name="Millares 3 4 2 2 2 4" xfId="3490" xr:uid="{00000000-0005-0000-0000-0000AB090000}"/>
    <cellStyle name="Millares 3 4 2 2 3" xfId="2305" xr:uid="{00000000-0005-0000-0000-0000AC090000}"/>
    <cellStyle name="Millares 3 4 2 2 3 2" xfId="3887" xr:uid="{00000000-0005-0000-0000-0000AD090000}"/>
    <cellStyle name="Millares 3 4 2 2 4" xfId="1514" xr:uid="{00000000-0005-0000-0000-0000AE090000}"/>
    <cellStyle name="Millares 3 4 2 2 5" xfId="3096" xr:uid="{00000000-0005-0000-0000-0000AF090000}"/>
    <cellStyle name="Millares 3 4 2 3" xfId="895" xr:uid="{00000000-0005-0000-0000-0000B0090000}"/>
    <cellStyle name="Millares 3 4 2 3 2" xfId="2478" xr:uid="{00000000-0005-0000-0000-0000B1090000}"/>
    <cellStyle name="Millares 3 4 2 3 2 2" xfId="4060" xr:uid="{00000000-0005-0000-0000-0000B2090000}"/>
    <cellStyle name="Millares 3 4 2 3 3" xfId="1687" xr:uid="{00000000-0005-0000-0000-0000B3090000}"/>
    <cellStyle name="Millares 3 4 2 3 4" xfId="3269" xr:uid="{00000000-0005-0000-0000-0000B4090000}"/>
    <cellStyle name="Millares 3 4 2 4" xfId="2084" xr:uid="{00000000-0005-0000-0000-0000B5090000}"/>
    <cellStyle name="Millares 3 4 2 4 2" xfId="3666" xr:uid="{00000000-0005-0000-0000-0000B6090000}"/>
    <cellStyle name="Millares 3 4 2 5" xfId="1293" xr:uid="{00000000-0005-0000-0000-0000B7090000}"/>
    <cellStyle name="Millares 3 4 2 6" xfId="2875" xr:uid="{00000000-0005-0000-0000-0000B8090000}"/>
    <cellStyle name="Millares 3 4 3" xfId="565" xr:uid="{00000000-0005-0000-0000-0000B9090000}"/>
    <cellStyle name="Millares 3 4 3 2" xfId="972" xr:uid="{00000000-0005-0000-0000-0000BA090000}"/>
    <cellStyle name="Millares 3 4 3 2 2" xfId="2555" xr:uid="{00000000-0005-0000-0000-0000BB090000}"/>
    <cellStyle name="Millares 3 4 3 2 2 2" xfId="4137" xr:uid="{00000000-0005-0000-0000-0000BC090000}"/>
    <cellStyle name="Millares 3 4 3 2 3" xfId="1764" xr:uid="{00000000-0005-0000-0000-0000BD090000}"/>
    <cellStyle name="Millares 3 4 3 2 4" xfId="3346" xr:uid="{00000000-0005-0000-0000-0000BE090000}"/>
    <cellStyle name="Millares 3 4 3 3" xfId="2161" xr:uid="{00000000-0005-0000-0000-0000BF090000}"/>
    <cellStyle name="Millares 3 4 3 3 2" xfId="3743" xr:uid="{00000000-0005-0000-0000-0000C0090000}"/>
    <cellStyle name="Millares 3 4 3 4" xfId="1370" xr:uid="{00000000-0005-0000-0000-0000C1090000}"/>
    <cellStyle name="Millares 3 4 3 5" xfId="2952" xr:uid="{00000000-0005-0000-0000-0000C2090000}"/>
    <cellStyle name="Millares 3 4 4" xfId="640" xr:uid="{00000000-0005-0000-0000-0000C3090000}"/>
    <cellStyle name="Millares 3 4 4 2" xfId="1040" xr:uid="{00000000-0005-0000-0000-0000C4090000}"/>
    <cellStyle name="Millares 3 4 4 2 2" xfId="2623" xr:uid="{00000000-0005-0000-0000-0000C5090000}"/>
    <cellStyle name="Millares 3 4 4 2 2 2" xfId="4205" xr:uid="{00000000-0005-0000-0000-0000C6090000}"/>
    <cellStyle name="Millares 3 4 4 2 3" xfId="1832" xr:uid="{00000000-0005-0000-0000-0000C7090000}"/>
    <cellStyle name="Millares 3 4 4 2 4" xfId="3414" xr:uid="{00000000-0005-0000-0000-0000C8090000}"/>
    <cellStyle name="Millares 3 4 4 3" xfId="2229" xr:uid="{00000000-0005-0000-0000-0000C9090000}"/>
    <cellStyle name="Millares 3 4 4 3 2" xfId="3811" xr:uid="{00000000-0005-0000-0000-0000CA090000}"/>
    <cellStyle name="Millares 3 4 4 4" xfId="1438" xr:uid="{00000000-0005-0000-0000-0000CB090000}"/>
    <cellStyle name="Millares 3 4 4 5" xfId="3020" xr:uid="{00000000-0005-0000-0000-0000CC090000}"/>
    <cellStyle name="Millares 3 4 5" xfId="819" xr:uid="{00000000-0005-0000-0000-0000CD090000}"/>
    <cellStyle name="Millares 3 4 5 2" xfId="2402" xr:uid="{00000000-0005-0000-0000-0000CE090000}"/>
    <cellStyle name="Millares 3 4 5 2 2" xfId="3984" xr:uid="{00000000-0005-0000-0000-0000CF090000}"/>
    <cellStyle name="Millares 3 4 5 3" xfId="1611" xr:uid="{00000000-0005-0000-0000-0000D0090000}"/>
    <cellStyle name="Millares 3 4 5 4" xfId="3193" xr:uid="{00000000-0005-0000-0000-0000D1090000}"/>
    <cellStyle name="Millares 3 4 6" xfId="2008" xr:uid="{00000000-0005-0000-0000-0000D2090000}"/>
    <cellStyle name="Millares 3 4 6 2" xfId="3590" xr:uid="{00000000-0005-0000-0000-0000D3090000}"/>
    <cellStyle name="Millares 3 4 7" xfId="1217" xr:uid="{00000000-0005-0000-0000-0000D4090000}"/>
    <cellStyle name="Millares 3 4 8" xfId="2799" xr:uid="{00000000-0005-0000-0000-0000D5090000}"/>
    <cellStyle name="Millares 3 5" xfId="447" xr:uid="{00000000-0005-0000-0000-0000D6090000}"/>
    <cellStyle name="Millares 3 5 2" xfId="675" xr:uid="{00000000-0005-0000-0000-0000D7090000}"/>
    <cellStyle name="Millares 3 5 2 2" xfId="1075" xr:uid="{00000000-0005-0000-0000-0000D8090000}"/>
    <cellStyle name="Millares 3 5 2 2 2" xfId="2658" xr:uid="{00000000-0005-0000-0000-0000D9090000}"/>
    <cellStyle name="Millares 3 5 2 2 2 2" xfId="4240" xr:uid="{00000000-0005-0000-0000-0000DA090000}"/>
    <cellStyle name="Millares 3 5 2 2 3" xfId="1867" xr:uid="{00000000-0005-0000-0000-0000DB090000}"/>
    <cellStyle name="Millares 3 5 2 2 4" xfId="3449" xr:uid="{00000000-0005-0000-0000-0000DC090000}"/>
    <cellStyle name="Millares 3 5 2 3" xfId="2264" xr:uid="{00000000-0005-0000-0000-0000DD090000}"/>
    <cellStyle name="Millares 3 5 2 3 2" xfId="3846" xr:uid="{00000000-0005-0000-0000-0000DE090000}"/>
    <cellStyle name="Millares 3 5 2 4" xfId="1473" xr:uid="{00000000-0005-0000-0000-0000DF090000}"/>
    <cellStyle name="Millares 3 5 2 5" xfId="3055" xr:uid="{00000000-0005-0000-0000-0000E0090000}"/>
    <cellStyle name="Millares 3 5 3" xfId="854" xr:uid="{00000000-0005-0000-0000-0000E1090000}"/>
    <cellStyle name="Millares 3 5 3 2" xfId="2437" xr:uid="{00000000-0005-0000-0000-0000E2090000}"/>
    <cellStyle name="Millares 3 5 3 2 2" xfId="4019" xr:uid="{00000000-0005-0000-0000-0000E3090000}"/>
    <cellStyle name="Millares 3 5 3 3" xfId="1646" xr:uid="{00000000-0005-0000-0000-0000E4090000}"/>
    <cellStyle name="Millares 3 5 3 4" xfId="3228" xr:uid="{00000000-0005-0000-0000-0000E5090000}"/>
    <cellStyle name="Millares 3 5 4" xfId="2043" xr:uid="{00000000-0005-0000-0000-0000E6090000}"/>
    <cellStyle name="Millares 3 5 4 2" xfId="3625" xr:uid="{00000000-0005-0000-0000-0000E7090000}"/>
    <cellStyle name="Millares 3 5 5" xfId="1252" xr:uid="{00000000-0005-0000-0000-0000E8090000}"/>
    <cellStyle name="Millares 3 5 6" xfId="2834" xr:uid="{00000000-0005-0000-0000-0000E9090000}"/>
    <cellStyle name="Millares 3 6" xfId="524" xr:uid="{00000000-0005-0000-0000-0000EA090000}"/>
    <cellStyle name="Millares 3 6 2" xfId="931" xr:uid="{00000000-0005-0000-0000-0000EB090000}"/>
    <cellStyle name="Millares 3 6 2 2" xfId="2514" xr:uid="{00000000-0005-0000-0000-0000EC090000}"/>
    <cellStyle name="Millares 3 6 2 2 2" xfId="4096" xr:uid="{00000000-0005-0000-0000-0000ED090000}"/>
    <cellStyle name="Millares 3 6 2 3" xfId="1723" xr:uid="{00000000-0005-0000-0000-0000EE090000}"/>
    <cellStyle name="Millares 3 6 2 4" xfId="3305" xr:uid="{00000000-0005-0000-0000-0000EF090000}"/>
    <cellStyle name="Millares 3 6 3" xfId="2120" xr:uid="{00000000-0005-0000-0000-0000F0090000}"/>
    <cellStyle name="Millares 3 6 3 2" xfId="3702" xr:uid="{00000000-0005-0000-0000-0000F1090000}"/>
    <cellStyle name="Millares 3 6 4" xfId="1329" xr:uid="{00000000-0005-0000-0000-0000F2090000}"/>
    <cellStyle name="Millares 3 6 5" xfId="2911" xr:uid="{00000000-0005-0000-0000-0000F3090000}"/>
    <cellStyle name="Millares 3 7" xfId="599" xr:uid="{00000000-0005-0000-0000-0000F4090000}"/>
    <cellStyle name="Millares 3 7 2" xfId="999" xr:uid="{00000000-0005-0000-0000-0000F5090000}"/>
    <cellStyle name="Millares 3 7 2 2" xfId="2582" xr:uid="{00000000-0005-0000-0000-0000F6090000}"/>
    <cellStyle name="Millares 3 7 2 2 2" xfId="4164" xr:uid="{00000000-0005-0000-0000-0000F7090000}"/>
    <cellStyle name="Millares 3 7 2 3" xfId="1791" xr:uid="{00000000-0005-0000-0000-0000F8090000}"/>
    <cellStyle name="Millares 3 7 2 4" xfId="3373" xr:uid="{00000000-0005-0000-0000-0000F9090000}"/>
    <cellStyle name="Millares 3 7 3" xfId="2188" xr:uid="{00000000-0005-0000-0000-0000FA090000}"/>
    <cellStyle name="Millares 3 7 3 2" xfId="3770" xr:uid="{00000000-0005-0000-0000-0000FB090000}"/>
    <cellStyle name="Millares 3 7 4" xfId="1397" xr:uid="{00000000-0005-0000-0000-0000FC090000}"/>
    <cellStyle name="Millares 3 7 5" xfId="2979" xr:uid="{00000000-0005-0000-0000-0000FD090000}"/>
    <cellStyle name="Millares 3 8" xfId="751" xr:uid="{00000000-0005-0000-0000-0000FE090000}"/>
    <cellStyle name="Millares 3 8 2" xfId="1151" xr:uid="{00000000-0005-0000-0000-0000FF090000}"/>
    <cellStyle name="Millares 3 8 2 2" xfId="2734" xr:uid="{00000000-0005-0000-0000-0000000A0000}"/>
    <cellStyle name="Millares 3 8 2 2 2" xfId="4316" xr:uid="{00000000-0005-0000-0000-0000010A0000}"/>
    <cellStyle name="Millares 3 8 2 3" xfId="1943" xr:uid="{00000000-0005-0000-0000-0000020A0000}"/>
    <cellStyle name="Millares 3 8 2 4" xfId="3525" xr:uid="{00000000-0005-0000-0000-0000030A0000}"/>
    <cellStyle name="Millares 3 8 3" xfId="2340" xr:uid="{00000000-0005-0000-0000-0000040A0000}"/>
    <cellStyle name="Millares 3 8 3 2" xfId="3922" xr:uid="{00000000-0005-0000-0000-0000050A0000}"/>
    <cellStyle name="Millares 3 8 4" xfId="1549" xr:uid="{00000000-0005-0000-0000-0000060A0000}"/>
    <cellStyle name="Millares 3 8 5" xfId="3131" xr:uid="{00000000-0005-0000-0000-0000070A0000}"/>
    <cellStyle name="Millares 3 9" xfId="778" xr:uid="{00000000-0005-0000-0000-0000080A0000}"/>
    <cellStyle name="Millares 3 9 2" xfId="2361" xr:uid="{00000000-0005-0000-0000-0000090A0000}"/>
    <cellStyle name="Millares 3 9 2 2" xfId="3943" xr:uid="{00000000-0005-0000-0000-00000A0A0000}"/>
    <cellStyle name="Millares 3 9 3" xfId="1570" xr:uid="{00000000-0005-0000-0000-00000B0A0000}"/>
    <cellStyle name="Millares 3 9 4" xfId="3152" xr:uid="{00000000-0005-0000-0000-00000C0A0000}"/>
    <cellStyle name="Millares 30" xfId="431" xr:uid="{00000000-0005-0000-0000-00000D0A0000}"/>
    <cellStyle name="Millares 30 2" xfId="507" xr:uid="{00000000-0005-0000-0000-00000E0A0000}"/>
    <cellStyle name="Millares 30 2 2" xfId="735" xr:uid="{00000000-0005-0000-0000-00000F0A0000}"/>
    <cellStyle name="Millares 30 2 2 2" xfId="1135" xr:uid="{00000000-0005-0000-0000-0000100A0000}"/>
    <cellStyle name="Millares 30 2 2 2 2" xfId="2718" xr:uid="{00000000-0005-0000-0000-0000110A0000}"/>
    <cellStyle name="Millares 30 2 2 2 2 2" xfId="4300" xr:uid="{00000000-0005-0000-0000-0000120A0000}"/>
    <cellStyle name="Millares 30 2 2 2 3" xfId="1927" xr:uid="{00000000-0005-0000-0000-0000130A0000}"/>
    <cellStyle name="Millares 30 2 2 2 4" xfId="3509" xr:uid="{00000000-0005-0000-0000-0000140A0000}"/>
    <cellStyle name="Millares 30 2 2 3" xfId="2324" xr:uid="{00000000-0005-0000-0000-0000150A0000}"/>
    <cellStyle name="Millares 30 2 2 3 2" xfId="3906" xr:uid="{00000000-0005-0000-0000-0000160A0000}"/>
    <cellStyle name="Millares 30 2 2 4" xfId="1533" xr:uid="{00000000-0005-0000-0000-0000170A0000}"/>
    <cellStyle name="Millares 30 2 2 5" xfId="3115" xr:uid="{00000000-0005-0000-0000-0000180A0000}"/>
    <cellStyle name="Millares 30 2 3" xfId="914" xr:uid="{00000000-0005-0000-0000-0000190A0000}"/>
    <cellStyle name="Millares 30 2 3 2" xfId="2497" xr:uid="{00000000-0005-0000-0000-00001A0A0000}"/>
    <cellStyle name="Millares 30 2 3 2 2" xfId="4079" xr:uid="{00000000-0005-0000-0000-00001B0A0000}"/>
    <cellStyle name="Millares 30 2 3 3" xfId="1706" xr:uid="{00000000-0005-0000-0000-00001C0A0000}"/>
    <cellStyle name="Millares 30 2 3 4" xfId="3288" xr:uid="{00000000-0005-0000-0000-00001D0A0000}"/>
    <cellStyle name="Millares 30 2 4" xfId="2103" xr:uid="{00000000-0005-0000-0000-00001E0A0000}"/>
    <cellStyle name="Millares 30 2 4 2" xfId="3685" xr:uid="{00000000-0005-0000-0000-00001F0A0000}"/>
    <cellStyle name="Millares 30 2 5" xfId="1312" xr:uid="{00000000-0005-0000-0000-0000200A0000}"/>
    <cellStyle name="Millares 30 2 6" xfId="2894" xr:uid="{00000000-0005-0000-0000-0000210A0000}"/>
    <cellStyle name="Millares 30 3" xfId="584" xr:uid="{00000000-0005-0000-0000-0000220A0000}"/>
    <cellStyle name="Millares 30 3 2" xfId="991" xr:uid="{00000000-0005-0000-0000-0000230A0000}"/>
    <cellStyle name="Millares 30 3 2 2" xfId="2574" xr:uid="{00000000-0005-0000-0000-0000240A0000}"/>
    <cellStyle name="Millares 30 3 2 2 2" xfId="4156" xr:uid="{00000000-0005-0000-0000-0000250A0000}"/>
    <cellStyle name="Millares 30 3 2 3" xfId="1783" xr:uid="{00000000-0005-0000-0000-0000260A0000}"/>
    <cellStyle name="Millares 30 3 2 4" xfId="3365" xr:uid="{00000000-0005-0000-0000-0000270A0000}"/>
    <cellStyle name="Millares 30 3 3" xfId="2180" xr:uid="{00000000-0005-0000-0000-0000280A0000}"/>
    <cellStyle name="Millares 30 3 3 2" xfId="3762" xr:uid="{00000000-0005-0000-0000-0000290A0000}"/>
    <cellStyle name="Millares 30 3 4" xfId="1389" xr:uid="{00000000-0005-0000-0000-00002A0A0000}"/>
    <cellStyle name="Millares 30 3 5" xfId="2971" xr:uid="{00000000-0005-0000-0000-00002B0A0000}"/>
    <cellStyle name="Millares 30 4" xfId="659" xr:uid="{00000000-0005-0000-0000-00002C0A0000}"/>
    <cellStyle name="Millares 30 4 2" xfId="1059" xr:uid="{00000000-0005-0000-0000-00002D0A0000}"/>
    <cellStyle name="Millares 30 4 2 2" xfId="2642" xr:uid="{00000000-0005-0000-0000-00002E0A0000}"/>
    <cellStyle name="Millares 30 4 2 2 2" xfId="4224" xr:uid="{00000000-0005-0000-0000-00002F0A0000}"/>
    <cellStyle name="Millares 30 4 2 3" xfId="1851" xr:uid="{00000000-0005-0000-0000-0000300A0000}"/>
    <cellStyle name="Millares 30 4 2 4" xfId="3433" xr:uid="{00000000-0005-0000-0000-0000310A0000}"/>
    <cellStyle name="Millares 30 4 3" xfId="2248" xr:uid="{00000000-0005-0000-0000-0000320A0000}"/>
    <cellStyle name="Millares 30 4 3 2" xfId="3830" xr:uid="{00000000-0005-0000-0000-0000330A0000}"/>
    <cellStyle name="Millares 30 4 4" xfId="1457" xr:uid="{00000000-0005-0000-0000-0000340A0000}"/>
    <cellStyle name="Millares 30 4 5" xfId="3039" xr:uid="{00000000-0005-0000-0000-0000350A0000}"/>
    <cellStyle name="Millares 30 5" xfId="838" xr:uid="{00000000-0005-0000-0000-0000360A0000}"/>
    <cellStyle name="Millares 30 5 2" xfId="2421" xr:uid="{00000000-0005-0000-0000-0000370A0000}"/>
    <cellStyle name="Millares 30 5 2 2" xfId="4003" xr:uid="{00000000-0005-0000-0000-0000380A0000}"/>
    <cellStyle name="Millares 30 5 3" xfId="1630" xr:uid="{00000000-0005-0000-0000-0000390A0000}"/>
    <cellStyle name="Millares 30 5 4" xfId="3212" xr:uid="{00000000-0005-0000-0000-00003A0A0000}"/>
    <cellStyle name="Millares 30 6" xfId="2027" xr:uid="{00000000-0005-0000-0000-00003B0A0000}"/>
    <cellStyle name="Millares 30 6 2" xfId="3609" xr:uid="{00000000-0005-0000-0000-00003C0A0000}"/>
    <cellStyle name="Millares 30 7" xfId="1236" xr:uid="{00000000-0005-0000-0000-00003D0A0000}"/>
    <cellStyle name="Millares 30 8" xfId="2818" xr:uid="{00000000-0005-0000-0000-00003E0A0000}"/>
    <cellStyle name="Millares 31" xfId="345" xr:uid="{00000000-0005-0000-0000-00003F0A0000}"/>
    <cellStyle name="Millares 31 2" xfId="466" xr:uid="{00000000-0005-0000-0000-0000400A0000}"/>
    <cellStyle name="Millares 31 2 2" xfId="694" xr:uid="{00000000-0005-0000-0000-0000410A0000}"/>
    <cellStyle name="Millares 31 2 2 2" xfId="1094" xr:uid="{00000000-0005-0000-0000-0000420A0000}"/>
    <cellStyle name="Millares 31 2 2 2 2" xfId="2677" xr:uid="{00000000-0005-0000-0000-0000430A0000}"/>
    <cellStyle name="Millares 31 2 2 2 2 2" xfId="4259" xr:uid="{00000000-0005-0000-0000-0000440A0000}"/>
    <cellStyle name="Millares 31 2 2 2 3" xfId="1886" xr:uid="{00000000-0005-0000-0000-0000450A0000}"/>
    <cellStyle name="Millares 31 2 2 2 4" xfId="3468" xr:uid="{00000000-0005-0000-0000-0000460A0000}"/>
    <cellStyle name="Millares 31 2 2 3" xfId="2283" xr:uid="{00000000-0005-0000-0000-0000470A0000}"/>
    <cellStyle name="Millares 31 2 2 3 2" xfId="3865" xr:uid="{00000000-0005-0000-0000-0000480A0000}"/>
    <cellStyle name="Millares 31 2 2 4" xfId="1492" xr:uid="{00000000-0005-0000-0000-0000490A0000}"/>
    <cellStyle name="Millares 31 2 2 5" xfId="3074" xr:uid="{00000000-0005-0000-0000-00004A0A0000}"/>
    <cellStyle name="Millares 31 2 3" xfId="873" xr:uid="{00000000-0005-0000-0000-00004B0A0000}"/>
    <cellStyle name="Millares 31 2 3 2" xfId="2456" xr:uid="{00000000-0005-0000-0000-00004C0A0000}"/>
    <cellStyle name="Millares 31 2 3 2 2" xfId="4038" xr:uid="{00000000-0005-0000-0000-00004D0A0000}"/>
    <cellStyle name="Millares 31 2 3 3" xfId="1665" xr:uid="{00000000-0005-0000-0000-00004E0A0000}"/>
    <cellStyle name="Millares 31 2 3 4" xfId="3247" xr:uid="{00000000-0005-0000-0000-00004F0A0000}"/>
    <cellStyle name="Millares 31 2 4" xfId="2062" xr:uid="{00000000-0005-0000-0000-0000500A0000}"/>
    <cellStyle name="Millares 31 2 4 2" xfId="3644" xr:uid="{00000000-0005-0000-0000-0000510A0000}"/>
    <cellStyle name="Millares 31 2 5" xfId="1271" xr:uid="{00000000-0005-0000-0000-0000520A0000}"/>
    <cellStyle name="Millares 31 2 6" xfId="2853" xr:uid="{00000000-0005-0000-0000-0000530A0000}"/>
    <cellStyle name="Millares 31 3" xfId="543" xr:uid="{00000000-0005-0000-0000-0000540A0000}"/>
    <cellStyle name="Millares 31 3 2" xfId="950" xr:uid="{00000000-0005-0000-0000-0000550A0000}"/>
    <cellStyle name="Millares 31 3 2 2" xfId="2533" xr:uid="{00000000-0005-0000-0000-0000560A0000}"/>
    <cellStyle name="Millares 31 3 2 2 2" xfId="4115" xr:uid="{00000000-0005-0000-0000-0000570A0000}"/>
    <cellStyle name="Millares 31 3 2 3" xfId="1742" xr:uid="{00000000-0005-0000-0000-0000580A0000}"/>
    <cellStyle name="Millares 31 3 2 4" xfId="3324" xr:uid="{00000000-0005-0000-0000-0000590A0000}"/>
    <cellStyle name="Millares 31 3 3" xfId="2139" xr:uid="{00000000-0005-0000-0000-00005A0A0000}"/>
    <cellStyle name="Millares 31 3 3 2" xfId="3721" xr:uid="{00000000-0005-0000-0000-00005B0A0000}"/>
    <cellStyle name="Millares 31 3 4" xfId="1348" xr:uid="{00000000-0005-0000-0000-00005C0A0000}"/>
    <cellStyle name="Millares 31 3 5" xfId="2930" xr:uid="{00000000-0005-0000-0000-00005D0A0000}"/>
    <cellStyle name="Millares 31 4" xfId="618" xr:uid="{00000000-0005-0000-0000-00005E0A0000}"/>
    <cellStyle name="Millares 31 4 2" xfId="1018" xr:uid="{00000000-0005-0000-0000-00005F0A0000}"/>
    <cellStyle name="Millares 31 4 2 2" xfId="2601" xr:uid="{00000000-0005-0000-0000-0000600A0000}"/>
    <cellStyle name="Millares 31 4 2 2 2" xfId="4183" xr:uid="{00000000-0005-0000-0000-0000610A0000}"/>
    <cellStyle name="Millares 31 4 2 3" xfId="1810" xr:uid="{00000000-0005-0000-0000-0000620A0000}"/>
    <cellStyle name="Millares 31 4 2 4" xfId="3392" xr:uid="{00000000-0005-0000-0000-0000630A0000}"/>
    <cellStyle name="Millares 31 4 3" xfId="2207" xr:uid="{00000000-0005-0000-0000-0000640A0000}"/>
    <cellStyle name="Millares 31 4 3 2" xfId="3789" xr:uid="{00000000-0005-0000-0000-0000650A0000}"/>
    <cellStyle name="Millares 31 4 4" xfId="1416" xr:uid="{00000000-0005-0000-0000-0000660A0000}"/>
    <cellStyle name="Millares 31 4 5" xfId="2998" xr:uid="{00000000-0005-0000-0000-0000670A0000}"/>
    <cellStyle name="Millares 31 5" xfId="797" xr:uid="{00000000-0005-0000-0000-0000680A0000}"/>
    <cellStyle name="Millares 31 5 2" xfId="2380" xr:uid="{00000000-0005-0000-0000-0000690A0000}"/>
    <cellStyle name="Millares 31 5 2 2" xfId="3962" xr:uid="{00000000-0005-0000-0000-00006A0A0000}"/>
    <cellStyle name="Millares 31 5 3" xfId="1589" xr:uid="{00000000-0005-0000-0000-00006B0A0000}"/>
    <cellStyle name="Millares 31 5 4" xfId="3171" xr:uid="{00000000-0005-0000-0000-00006C0A0000}"/>
    <cellStyle name="Millares 31 6" xfId="1986" xr:uid="{00000000-0005-0000-0000-00006D0A0000}"/>
    <cellStyle name="Millares 31 6 2" xfId="3568" xr:uid="{00000000-0005-0000-0000-00006E0A0000}"/>
    <cellStyle name="Millares 31 7" xfId="1195" xr:uid="{00000000-0005-0000-0000-00006F0A0000}"/>
    <cellStyle name="Millares 31 8" xfId="2777" xr:uid="{00000000-0005-0000-0000-0000700A0000}"/>
    <cellStyle name="Millares 32" xfId="355" xr:uid="{00000000-0005-0000-0000-0000710A0000}"/>
    <cellStyle name="Millares 32 2" xfId="476" xr:uid="{00000000-0005-0000-0000-0000720A0000}"/>
    <cellStyle name="Millares 32 2 2" xfId="704" xr:uid="{00000000-0005-0000-0000-0000730A0000}"/>
    <cellStyle name="Millares 32 2 2 2" xfId="1104" xr:uid="{00000000-0005-0000-0000-0000740A0000}"/>
    <cellStyle name="Millares 32 2 2 2 2" xfId="2687" xr:uid="{00000000-0005-0000-0000-0000750A0000}"/>
    <cellStyle name="Millares 32 2 2 2 2 2" xfId="4269" xr:uid="{00000000-0005-0000-0000-0000760A0000}"/>
    <cellStyle name="Millares 32 2 2 2 3" xfId="1896" xr:uid="{00000000-0005-0000-0000-0000770A0000}"/>
    <cellStyle name="Millares 32 2 2 2 4" xfId="3478" xr:uid="{00000000-0005-0000-0000-0000780A0000}"/>
    <cellStyle name="Millares 32 2 2 3" xfId="2293" xr:uid="{00000000-0005-0000-0000-0000790A0000}"/>
    <cellStyle name="Millares 32 2 2 3 2" xfId="3875" xr:uid="{00000000-0005-0000-0000-00007A0A0000}"/>
    <cellStyle name="Millares 32 2 2 4" xfId="1502" xr:uid="{00000000-0005-0000-0000-00007B0A0000}"/>
    <cellStyle name="Millares 32 2 2 5" xfId="3084" xr:uid="{00000000-0005-0000-0000-00007C0A0000}"/>
    <cellStyle name="Millares 32 2 3" xfId="883" xr:uid="{00000000-0005-0000-0000-00007D0A0000}"/>
    <cellStyle name="Millares 32 2 3 2" xfId="2466" xr:uid="{00000000-0005-0000-0000-00007E0A0000}"/>
    <cellStyle name="Millares 32 2 3 2 2" xfId="4048" xr:uid="{00000000-0005-0000-0000-00007F0A0000}"/>
    <cellStyle name="Millares 32 2 3 3" xfId="1675" xr:uid="{00000000-0005-0000-0000-0000800A0000}"/>
    <cellStyle name="Millares 32 2 3 4" xfId="3257" xr:uid="{00000000-0005-0000-0000-0000810A0000}"/>
    <cellStyle name="Millares 32 2 4" xfId="2072" xr:uid="{00000000-0005-0000-0000-0000820A0000}"/>
    <cellStyle name="Millares 32 2 4 2" xfId="3654" xr:uid="{00000000-0005-0000-0000-0000830A0000}"/>
    <cellStyle name="Millares 32 2 5" xfId="1281" xr:uid="{00000000-0005-0000-0000-0000840A0000}"/>
    <cellStyle name="Millares 32 2 6" xfId="2863" xr:uid="{00000000-0005-0000-0000-0000850A0000}"/>
    <cellStyle name="Millares 32 3" xfId="553" xr:uid="{00000000-0005-0000-0000-0000860A0000}"/>
    <cellStyle name="Millares 32 3 2" xfId="960" xr:uid="{00000000-0005-0000-0000-0000870A0000}"/>
    <cellStyle name="Millares 32 3 2 2" xfId="2543" xr:uid="{00000000-0005-0000-0000-0000880A0000}"/>
    <cellStyle name="Millares 32 3 2 2 2" xfId="4125" xr:uid="{00000000-0005-0000-0000-0000890A0000}"/>
    <cellStyle name="Millares 32 3 2 3" xfId="1752" xr:uid="{00000000-0005-0000-0000-00008A0A0000}"/>
    <cellStyle name="Millares 32 3 2 4" xfId="3334" xr:uid="{00000000-0005-0000-0000-00008B0A0000}"/>
    <cellStyle name="Millares 32 3 3" xfId="2149" xr:uid="{00000000-0005-0000-0000-00008C0A0000}"/>
    <cellStyle name="Millares 32 3 3 2" xfId="3731" xr:uid="{00000000-0005-0000-0000-00008D0A0000}"/>
    <cellStyle name="Millares 32 3 4" xfId="1358" xr:uid="{00000000-0005-0000-0000-00008E0A0000}"/>
    <cellStyle name="Millares 32 3 5" xfId="2940" xr:uid="{00000000-0005-0000-0000-00008F0A0000}"/>
    <cellStyle name="Millares 32 4" xfId="628" xr:uid="{00000000-0005-0000-0000-0000900A0000}"/>
    <cellStyle name="Millares 32 4 2" xfId="1028" xr:uid="{00000000-0005-0000-0000-0000910A0000}"/>
    <cellStyle name="Millares 32 4 2 2" xfId="2611" xr:uid="{00000000-0005-0000-0000-0000920A0000}"/>
    <cellStyle name="Millares 32 4 2 2 2" xfId="4193" xr:uid="{00000000-0005-0000-0000-0000930A0000}"/>
    <cellStyle name="Millares 32 4 2 3" xfId="1820" xr:uid="{00000000-0005-0000-0000-0000940A0000}"/>
    <cellStyle name="Millares 32 4 2 4" xfId="3402" xr:uid="{00000000-0005-0000-0000-0000950A0000}"/>
    <cellStyle name="Millares 32 4 3" xfId="2217" xr:uid="{00000000-0005-0000-0000-0000960A0000}"/>
    <cellStyle name="Millares 32 4 3 2" xfId="3799" xr:uid="{00000000-0005-0000-0000-0000970A0000}"/>
    <cellStyle name="Millares 32 4 4" xfId="1426" xr:uid="{00000000-0005-0000-0000-0000980A0000}"/>
    <cellStyle name="Millares 32 4 5" xfId="3008" xr:uid="{00000000-0005-0000-0000-0000990A0000}"/>
    <cellStyle name="Millares 32 5" xfId="807" xr:uid="{00000000-0005-0000-0000-00009A0A0000}"/>
    <cellStyle name="Millares 32 5 2" xfId="2390" xr:uid="{00000000-0005-0000-0000-00009B0A0000}"/>
    <cellStyle name="Millares 32 5 2 2" xfId="3972" xr:uid="{00000000-0005-0000-0000-00009C0A0000}"/>
    <cellStyle name="Millares 32 5 3" xfId="1599" xr:uid="{00000000-0005-0000-0000-00009D0A0000}"/>
    <cellStyle name="Millares 32 5 4" xfId="3181" xr:uid="{00000000-0005-0000-0000-00009E0A0000}"/>
    <cellStyle name="Millares 32 6" xfId="1996" xr:uid="{00000000-0005-0000-0000-00009F0A0000}"/>
    <cellStyle name="Millares 32 6 2" xfId="3578" xr:uid="{00000000-0005-0000-0000-0000A00A0000}"/>
    <cellStyle name="Millares 32 7" xfId="1205" xr:uid="{00000000-0005-0000-0000-0000A10A0000}"/>
    <cellStyle name="Millares 32 8" xfId="2787" xr:uid="{00000000-0005-0000-0000-0000A20A0000}"/>
    <cellStyle name="Millares 33" xfId="436" xr:uid="{00000000-0005-0000-0000-0000A30A0000}"/>
    <cellStyle name="Millares 33 2" xfId="512" xr:uid="{00000000-0005-0000-0000-0000A40A0000}"/>
    <cellStyle name="Millares 33 2 2" xfId="740" xr:uid="{00000000-0005-0000-0000-0000A50A0000}"/>
    <cellStyle name="Millares 33 2 2 2" xfId="1140" xr:uid="{00000000-0005-0000-0000-0000A60A0000}"/>
    <cellStyle name="Millares 33 2 2 2 2" xfId="2723" xr:uid="{00000000-0005-0000-0000-0000A70A0000}"/>
    <cellStyle name="Millares 33 2 2 2 2 2" xfId="4305" xr:uid="{00000000-0005-0000-0000-0000A80A0000}"/>
    <cellStyle name="Millares 33 2 2 2 3" xfId="1932" xr:uid="{00000000-0005-0000-0000-0000A90A0000}"/>
    <cellStyle name="Millares 33 2 2 2 4" xfId="3514" xr:uid="{00000000-0005-0000-0000-0000AA0A0000}"/>
    <cellStyle name="Millares 33 2 2 3" xfId="2329" xr:uid="{00000000-0005-0000-0000-0000AB0A0000}"/>
    <cellStyle name="Millares 33 2 2 3 2" xfId="3911" xr:uid="{00000000-0005-0000-0000-0000AC0A0000}"/>
    <cellStyle name="Millares 33 2 2 4" xfId="1538" xr:uid="{00000000-0005-0000-0000-0000AD0A0000}"/>
    <cellStyle name="Millares 33 2 2 5" xfId="3120" xr:uid="{00000000-0005-0000-0000-0000AE0A0000}"/>
    <cellStyle name="Millares 33 2 3" xfId="919" xr:uid="{00000000-0005-0000-0000-0000AF0A0000}"/>
    <cellStyle name="Millares 33 2 3 2" xfId="2502" xr:uid="{00000000-0005-0000-0000-0000B00A0000}"/>
    <cellStyle name="Millares 33 2 3 2 2" xfId="4084" xr:uid="{00000000-0005-0000-0000-0000B10A0000}"/>
    <cellStyle name="Millares 33 2 3 3" xfId="1711" xr:uid="{00000000-0005-0000-0000-0000B20A0000}"/>
    <cellStyle name="Millares 33 2 3 4" xfId="3293" xr:uid="{00000000-0005-0000-0000-0000B30A0000}"/>
    <cellStyle name="Millares 33 2 4" xfId="2108" xr:uid="{00000000-0005-0000-0000-0000B40A0000}"/>
    <cellStyle name="Millares 33 2 4 2" xfId="3690" xr:uid="{00000000-0005-0000-0000-0000B50A0000}"/>
    <cellStyle name="Millares 33 2 5" xfId="1317" xr:uid="{00000000-0005-0000-0000-0000B60A0000}"/>
    <cellStyle name="Millares 33 2 6" xfId="2899" xr:uid="{00000000-0005-0000-0000-0000B70A0000}"/>
    <cellStyle name="Millares 33 3" xfId="589" xr:uid="{00000000-0005-0000-0000-0000B80A0000}"/>
    <cellStyle name="Millares 33 3 2" xfId="996" xr:uid="{00000000-0005-0000-0000-0000B90A0000}"/>
    <cellStyle name="Millares 33 3 2 2" xfId="2579" xr:uid="{00000000-0005-0000-0000-0000BA0A0000}"/>
    <cellStyle name="Millares 33 3 2 2 2" xfId="4161" xr:uid="{00000000-0005-0000-0000-0000BB0A0000}"/>
    <cellStyle name="Millares 33 3 2 3" xfId="1788" xr:uid="{00000000-0005-0000-0000-0000BC0A0000}"/>
    <cellStyle name="Millares 33 3 2 4" xfId="3370" xr:uid="{00000000-0005-0000-0000-0000BD0A0000}"/>
    <cellStyle name="Millares 33 3 3" xfId="2185" xr:uid="{00000000-0005-0000-0000-0000BE0A0000}"/>
    <cellStyle name="Millares 33 3 3 2" xfId="3767" xr:uid="{00000000-0005-0000-0000-0000BF0A0000}"/>
    <cellStyle name="Millares 33 3 4" xfId="1394" xr:uid="{00000000-0005-0000-0000-0000C00A0000}"/>
    <cellStyle name="Millares 33 3 5" xfId="2976" xr:uid="{00000000-0005-0000-0000-0000C10A0000}"/>
    <cellStyle name="Millares 33 4" xfId="664" xr:uid="{00000000-0005-0000-0000-0000C20A0000}"/>
    <cellStyle name="Millares 33 4 2" xfId="1064" xr:uid="{00000000-0005-0000-0000-0000C30A0000}"/>
    <cellStyle name="Millares 33 4 2 2" xfId="2647" xr:uid="{00000000-0005-0000-0000-0000C40A0000}"/>
    <cellStyle name="Millares 33 4 2 2 2" xfId="4229" xr:uid="{00000000-0005-0000-0000-0000C50A0000}"/>
    <cellStyle name="Millares 33 4 2 3" xfId="1856" xr:uid="{00000000-0005-0000-0000-0000C60A0000}"/>
    <cellStyle name="Millares 33 4 2 4" xfId="3438" xr:uid="{00000000-0005-0000-0000-0000C70A0000}"/>
    <cellStyle name="Millares 33 4 3" xfId="2253" xr:uid="{00000000-0005-0000-0000-0000C80A0000}"/>
    <cellStyle name="Millares 33 4 3 2" xfId="3835" xr:uid="{00000000-0005-0000-0000-0000C90A0000}"/>
    <cellStyle name="Millares 33 4 4" xfId="1462" xr:uid="{00000000-0005-0000-0000-0000CA0A0000}"/>
    <cellStyle name="Millares 33 4 5" xfId="3044" xr:uid="{00000000-0005-0000-0000-0000CB0A0000}"/>
    <cellStyle name="Millares 33 5" xfId="843" xr:uid="{00000000-0005-0000-0000-0000CC0A0000}"/>
    <cellStyle name="Millares 33 5 2" xfId="2426" xr:uid="{00000000-0005-0000-0000-0000CD0A0000}"/>
    <cellStyle name="Millares 33 5 2 2" xfId="4008" xr:uid="{00000000-0005-0000-0000-0000CE0A0000}"/>
    <cellStyle name="Millares 33 5 3" xfId="1635" xr:uid="{00000000-0005-0000-0000-0000CF0A0000}"/>
    <cellStyle name="Millares 33 5 4" xfId="3217" xr:uid="{00000000-0005-0000-0000-0000D00A0000}"/>
    <cellStyle name="Millares 33 6" xfId="2032" xr:uid="{00000000-0005-0000-0000-0000D10A0000}"/>
    <cellStyle name="Millares 33 6 2" xfId="3614" xr:uid="{00000000-0005-0000-0000-0000D20A0000}"/>
    <cellStyle name="Millares 33 7" xfId="1241" xr:uid="{00000000-0005-0000-0000-0000D30A0000}"/>
    <cellStyle name="Millares 33 8" xfId="2823" xr:uid="{00000000-0005-0000-0000-0000D40A0000}"/>
    <cellStyle name="Millares 34" xfId="364" xr:uid="{00000000-0005-0000-0000-0000D50A0000}"/>
    <cellStyle name="Millares 34 2" xfId="482" xr:uid="{00000000-0005-0000-0000-0000D60A0000}"/>
    <cellStyle name="Millares 34 2 2" xfId="710" xr:uid="{00000000-0005-0000-0000-0000D70A0000}"/>
    <cellStyle name="Millares 34 2 2 2" xfId="1110" xr:uid="{00000000-0005-0000-0000-0000D80A0000}"/>
    <cellStyle name="Millares 34 2 2 2 2" xfId="2693" xr:uid="{00000000-0005-0000-0000-0000D90A0000}"/>
    <cellStyle name="Millares 34 2 2 2 2 2" xfId="4275" xr:uid="{00000000-0005-0000-0000-0000DA0A0000}"/>
    <cellStyle name="Millares 34 2 2 2 3" xfId="1902" xr:uid="{00000000-0005-0000-0000-0000DB0A0000}"/>
    <cellStyle name="Millares 34 2 2 2 4" xfId="3484" xr:uid="{00000000-0005-0000-0000-0000DC0A0000}"/>
    <cellStyle name="Millares 34 2 2 3" xfId="2299" xr:uid="{00000000-0005-0000-0000-0000DD0A0000}"/>
    <cellStyle name="Millares 34 2 2 3 2" xfId="3881" xr:uid="{00000000-0005-0000-0000-0000DE0A0000}"/>
    <cellStyle name="Millares 34 2 2 4" xfId="1508" xr:uid="{00000000-0005-0000-0000-0000DF0A0000}"/>
    <cellStyle name="Millares 34 2 2 5" xfId="3090" xr:uid="{00000000-0005-0000-0000-0000E00A0000}"/>
    <cellStyle name="Millares 34 2 3" xfId="889" xr:uid="{00000000-0005-0000-0000-0000E10A0000}"/>
    <cellStyle name="Millares 34 2 3 2" xfId="2472" xr:uid="{00000000-0005-0000-0000-0000E20A0000}"/>
    <cellStyle name="Millares 34 2 3 2 2" xfId="4054" xr:uid="{00000000-0005-0000-0000-0000E30A0000}"/>
    <cellStyle name="Millares 34 2 3 3" xfId="1681" xr:uid="{00000000-0005-0000-0000-0000E40A0000}"/>
    <cellStyle name="Millares 34 2 3 4" xfId="3263" xr:uid="{00000000-0005-0000-0000-0000E50A0000}"/>
    <cellStyle name="Millares 34 2 4" xfId="2078" xr:uid="{00000000-0005-0000-0000-0000E60A0000}"/>
    <cellStyle name="Millares 34 2 4 2" xfId="3660" xr:uid="{00000000-0005-0000-0000-0000E70A0000}"/>
    <cellStyle name="Millares 34 2 5" xfId="1287" xr:uid="{00000000-0005-0000-0000-0000E80A0000}"/>
    <cellStyle name="Millares 34 2 6" xfId="2869" xr:uid="{00000000-0005-0000-0000-0000E90A0000}"/>
    <cellStyle name="Millares 34 3" xfId="559" xr:uid="{00000000-0005-0000-0000-0000EA0A0000}"/>
    <cellStyle name="Millares 34 3 2" xfId="966" xr:uid="{00000000-0005-0000-0000-0000EB0A0000}"/>
    <cellStyle name="Millares 34 3 2 2" xfId="2549" xr:uid="{00000000-0005-0000-0000-0000EC0A0000}"/>
    <cellStyle name="Millares 34 3 2 2 2" xfId="4131" xr:uid="{00000000-0005-0000-0000-0000ED0A0000}"/>
    <cellStyle name="Millares 34 3 2 3" xfId="1758" xr:uid="{00000000-0005-0000-0000-0000EE0A0000}"/>
    <cellStyle name="Millares 34 3 2 4" xfId="3340" xr:uid="{00000000-0005-0000-0000-0000EF0A0000}"/>
    <cellStyle name="Millares 34 3 3" xfId="2155" xr:uid="{00000000-0005-0000-0000-0000F00A0000}"/>
    <cellStyle name="Millares 34 3 3 2" xfId="3737" xr:uid="{00000000-0005-0000-0000-0000F10A0000}"/>
    <cellStyle name="Millares 34 3 4" xfId="1364" xr:uid="{00000000-0005-0000-0000-0000F20A0000}"/>
    <cellStyle name="Millares 34 3 5" xfId="2946" xr:uid="{00000000-0005-0000-0000-0000F30A0000}"/>
    <cellStyle name="Millares 34 4" xfId="634" xr:uid="{00000000-0005-0000-0000-0000F40A0000}"/>
    <cellStyle name="Millares 34 4 2" xfId="1034" xr:uid="{00000000-0005-0000-0000-0000F50A0000}"/>
    <cellStyle name="Millares 34 4 2 2" xfId="2617" xr:uid="{00000000-0005-0000-0000-0000F60A0000}"/>
    <cellStyle name="Millares 34 4 2 2 2" xfId="4199" xr:uid="{00000000-0005-0000-0000-0000F70A0000}"/>
    <cellStyle name="Millares 34 4 2 3" xfId="1826" xr:uid="{00000000-0005-0000-0000-0000F80A0000}"/>
    <cellStyle name="Millares 34 4 2 4" xfId="3408" xr:uid="{00000000-0005-0000-0000-0000F90A0000}"/>
    <cellStyle name="Millares 34 4 3" xfId="2223" xr:uid="{00000000-0005-0000-0000-0000FA0A0000}"/>
    <cellStyle name="Millares 34 4 3 2" xfId="3805" xr:uid="{00000000-0005-0000-0000-0000FB0A0000}"/>
    <cellStyle name="Millares 34 4 4" xfId="1432" xr:uid="{00000000-0005-0000-0000-0000FC0A0000}"/>
    <cellStyle name="Millares 34 4 5" xfId="3014" xr:uid="{00000000-0005-0000-0000-0000FD0A0000}"/>
    <cellStyle name="Millares 34 5" xfId="813" xr:uid="{00000000-0005-0000-0000-0000FE0A0000}"/>
    <cellStyle name="Millares 34 5 2" xfId="2396" xr:uid="{00000000-0005-0000-0000-0000FF0A0000}"/>
    <cellStyle name="Millares 34 5 2 2" xfId="3978" xr:uid="{00000000-0005-0000-0000-0000000B0000}"/>
    <cellStyle name="Millares 34 5 3" xfId="1605" xr:uid="{00000000-0005-0000-0000-0000010B0000}"/>
    <cellStyle name="Millares 34 5 4" xfId="3187" xr:uid="{00000000-0005-0000-0000-0000020B0000}"/>
    <cellStyle name="Millares 34 6" xfId="2002" xr:uid="{00000000-0005-0000-0000-0000030B0000}"/>
    <cellStyle name="Millares 34 6 2" xfId="3584" xr:uid="{00000000-0005-0000-0000-0000040B0000}"/>
    <cellStyle name="Millares 34 7" xfId="1211" xr:uid="{00000000-0005-0000-0000-0000050B0000}"/>
    <cellStyle name="Millares 34 8" xfId="2793" xr:uid="{00000000-0005-0000-0000-0000060B0000}"/>
    <cellStyle name="Millares 35" xfId="352" xr:uid="{00000000-0005-0000-0000-0000070B0000}"/>
    <cellStyle name="Millares 35 2" xfId="473" xr:uid="{00000000-0005-0000-0000-0000080B0000}"/>
    <cellStyle name="Millares 35 2 2" xfId="701" xr:uid="{00000000-0005-0000-0000-0000090B0000}"/>
    <cellStyle name="Millares 35 2 2 2" xfId="1101" xr:uid="{00000000-0005-0000-0000-00000A0B0000}"/>
    <cellStyle name="Millares 35 2 2 2 2" xfId="2684" xr:uid="{00000000-0005-0000-0000-00000B0B0000}"/>
    <cellStyle name="Millares 35 2 2 2 2 2" xfId="4266" xr:uid="{00000000-0005-0000-0000-00000C0B0000}"/>
    <cellStyle name="Millares 35 2 2 2 3" xfId="1893" xr:uid="{00000000-0005-0000-0000-00000D0B0000}"/>
    <cellStyle name="Millares 35 2 2 2 4" xfId="3475" xr:uid="{00000000-0005-0000-0000-00000E0B0000}"/>
    <cellStyle name="Millares 35 2 2 3" xfId="2290" xr:uid="{00000000-0005-0000-0000-00000F0B0000}"/>
    <cellStyle name="Millares 35 2 2 3 2" xfId="3872" xr:uid="{00000000-0005-0000-0000-0000100B0000}"/>
    <cellStyle name="Millares 35 2 2 4" xfId="1499" xr:uid="{00000000-0005-0000-0000-0000110B0000}"/>
    <cellStyle name="Millares 35 2 2 5" xfId="3081" xr:uid="{00000000-0005-0000-0000-0000120B0000}"/>
    <cellStyle name="Millares 35 2 3" xfId="880" xr:uid="{00000000-0005-0000-0000-0000130B0000}"/>
    <cellStyle name="Millares 35 2 3 2" xfId="2463" xr:uid="{00000000-0005-0000-0000-0000140B0000}"/>
    <cellStyle name="Millares 35 2 3 2 2" xfId="4045" xr:uid="{00000000-0005-0000-0000-0000150B0000}"/>
    <cellStyle name="Millares 35 2 3 3" xfId="1672" xr:uid="{00000000-0005-0000-0000-0000160B0000}"/>
    <cellStyle name="Millares 35 2 3 4" xfId="3254" xr:uid="{00000000-0005-0000-0000-0000170B0000}"/>
    <cellStyle name="Millares 35 2 4" xfId="2069" xr:uid="{00000000-0005-0000-0000-0000180B0000}"/>
    <cellStyle name="Millares 35 2 4 2" xfId="3651" xr:uid="{00000000-0005-0000-0000-0000190B0000}"/>
    <cellStyle name="Millares 35 2 5" xfId="1278" xr:uid="{00000000-0005-0000-0000-00001A0B0000}"/>
    <cellStyle name="Millares 35 2 6" xfId="2860" xr:uid="{00000000-0005-0000-0000-00001B0B0000}"/>
    <cellStyle name="Millares 35 3" xfId="550" xr:uid="{00000000-0005-0000-0000-00001C0B0000}"/>
    <cellStyle name="Millares 35 3 2" xfId="957" xr:uid="{00000000-0005-0000-0000-00001D0B0000}"/>
    <cellStyle name="Millares 35 3 2 2" xfId="2540" xr:uid="{00000000-0005-0000-0000-00001E0B0000}"/>
    <cellStyle name="Millares 35 3 2 2 2" xfId="4122" xr:uid="{00000000-0005-0000-0000-00001F0B0000}"/>
    <cellStyle name="Millares 35 3 2 3" xfId="1749" xr:uid="{00000000-0005-0000-0000-0000200B0000}"/>
    <cellStyle name="Millares 35 3 2 4" xfId="3331" xr:uid="{00000000-0005-0000-0000-0000210B0000}"/>
    <cellStyle name="Millares 35 3 3" xfId="2146" xr:uid="{00000000-0005-0000-0000-0000220B0000}"/>
    <cellStyle name="Millares 35 3 3 2" xfId="3728" xr:uid="{00000000-0005-0000-0000-0000230B0000}"/>
    <cellStyle name="Millares 35 3 4" xfId="1355" xr:uid="{00000000-0005-0000-0000-0000240B0000}"/>
    <cellStyle name="Millares 35 3 5" xfId="2937" xr:uid="{00000000-0005-0000-0000-0000250B0000}"/>
    <cellStyle name="Millares 35 4" xfId="625" xr:uid="{00000000-0005-0000-0000-0000260B0000}"/>
    <cellStyle name="Millares 35 4 2" xfId="1025" xr:uid="{00000000-0005-0000-0000-0000270B0000}"/>
    <cellStyle name="Millares 35 4 2 2" xfId="2608" xr:uid="{00000000-0005-0000-0000-0000280B0000}"/>
    <cellStyle name="Millares 35 4 2 2 2" xfId="4190" xr:uid="{00000000-0005-0000-0000-0000290B0000}"/>
    <cellStyle name="Millares 35 4 2 3" xfId="1817" xr:uid="{00000000-0005-0000-0000-00002A0B0000}"/>
    <cellStyle name="Millares 35 4 2 4" xfId="3399" xr:uid="{00000000-0005-0000-0000-00002B0B0000}"/>
    <cellStyle name="Millares 35 4 3" xfId="2214" xr:uid="{00000000-0005-0000-0000-00002C0B0000}"/>
    <cellStyle name="Millares 35 4 3 2" xfId="3796" xr:uid="{00000000-0005-0000-0000-00002D0B0000}"/>
    <cellStyle name="Millares 35 4 4" xfId="1423" xr:uid="{00000000-0005-0000-0000-00002E0B0000}"/>
    <cellStyle name="Millares 35 4 5" xfId="3005" xr:uid="{00000000-0005-0000-0000-00002F0B0000}"/>
    <cellStyle name="Millares 35 5" xfId="804" xr:uid="{00000000-0005-0000-0000-0000300B0000}"/>
    <cellStyle name="Millares 35 5 2" xfId="2387" xr:uid="{00000000-0005-0000-0000-0000310B0000}"/>
    <cellStyle name="Millares 35 5 2 2" xfId="3969" xr:uid="{00000000-0005-0000-0000-0000320B0000}"/>
    <cellStyle name="Millares 35 5 3" xfId="1596" xr:uid="{00000000-0005-0000-0000-0000330B0000}"/>
    <cellStyle name="Millares 35 5 4" xfId="3178" xr:uid="{00000000-0005-0000-0000-0000340B0000}"/>
    <cellStyle name="Millares 35 6" xfId="1993" xr:uid="{00000000-0005-0000-0000-0000350B0000}"/>
    <cellStyle name="Millares 35 6 2" xfId="3575" xr:uid="{00000000-0005-0000-0000-0000360B0000}"/>
    <cellStyle name="Millares 35 7" xfId="1202" xr:uid="{00000000-0005-0000-0000-0000370B0000}"/>
    <cellStyle name="Millares 35 8" xfId="2784" xr:uid="{00000000-0005-0000-0000-0000380B0000}"/>
    <cellStyle name="Millares 36" xfId="348" xr:uid="{00000000-0005-0000-0000-0000390B0000}"/>
    <cellStyle name="Millares 36 2" xfId="469" xr:uid="{00000000-0005-0000-0000-00003A0B0000}"/>
    <cellStyle name="Millares 36 2 2" xfId="697" xr:uid="{00000000-0005-0000-0000-00003B0B0000}"/>
    <cellStyle name="Millares 36 2 2 2" xfId="1097" xr:uid="{00000000-0005-0000-0000-00003C0B0000}"/>
    <cellStyle name="Millares 36 2 2 2 2" xfId="2680" xr:uid="{00000000-0005-0000-0000-00003D0B0000}"/>
    <cellStyle name="Millares 36 2 2 2 2 2" xfId="4262" xr:uid="{00000000-0005-0000-0000-00003E0B0000}"/>
    <cellStyle name="Millares 36 2 2 2 3" xfId="1889" xr:uid="{00000000-0005-0000-0000-00003F0B0000}"/>
    <cellStyle name="Millares 36 2 2 2 4" xfId="3471" xr:uid="{00000000-0005-0000-0000-0000400B0000}"/>
    <cellStyle name="Millares 36 2 2 3" xfId="2286" xr:uid="{00000000-0005-0000-0000-0000410B0000}"/>
    <cellStyle name="Millares 36 2 2 3 2" xfId="3868" xr:uid="{00000000-0005-0000-0000-0000420B0000}"/>
    <cellStyle name="Millares 36 2 2 4" xfId="1495" xr:uid="{00000000-0005-0000-0000-0000430B0000}"/>
    <cellStyle name="Millares 36 2 2 5" xfId="3077" xr:uid="{00000000-0005-0000-0000-0000440B0000}"/>
    <cellStyle name="Millares 36 2 3" xfId="876" xr:uid="{00000000-0005-0000-0000-0000450B0000}"/>
    <cellStyle name="Millares 36 2 3 2" xfId="2459" xr:uid="{00000000-0005-0000-0000-0000460B0000}"/>
    <cellStyle name="Millares 36 2 3 2 2" xfId="4041" xr:uid="{00000000-0005-0000-0000-0000470B0000}"/>
    <cellStyle name="Millares 36 2 3 3" xfId="1668" xr:uid="{00000000-0005-0000-0000-0000480B0000}"/>
    <cellStyle name="Millares 36 2 3 4" xfId="3250" xr:uid="{00000000-0005-0000-0000-0000490B0000}"/>
    <cellStyle name="Millares 36 2 4" xfId="2065" xr:uid="{00000000-0005-0000-0000-00004A0B0000}"/>
    <cellStyle name="Millares 36 2 4 2" xfId="3647" xr:uid="{00000000-0005-0000-0000-00004B0B0000}"/>
    <cellStyle name="Millares 36 2 5" xfId="1274" xr:uid="{00000000-0005-0000-0000-00004C0B0000}"/>
    <cellStyle name="Millares 36 2 6" xfId="2856" xr:uid="{00000000-0005-0000-0000-00004D0B0000}"/>
    <cellStyle name="Millares 36 3" xfId="546" xr:uid="{00000000-0005-0000-0000-00004E0B0000}"/>
    <cellStyle name="Millares 36 3 2" xfId="953" xr:uid="{00000000-0005-0000-0000-00004F0B0000}"/>
    <cellStyle name="Millares 36 3 2 2" xfId="2536" xr:uid="{00000000-0005-0000-0000-0000500B0000}"/>
    <cellStyle name="Millares 36 3 2 2 2" xfId="4118" xr:uid="{00000000-0005-0000-0000-0000510B0000}"/>
    <cellStyle name="Millares 36 3 2 3" xfId="1745" xr:uid="{00000000-0005-0000-0000-0000520B0000}"/>
    <cellStyle name="Millares 36 3 2 4" xfId="3327" xr:uid="{00000000-0005-0000-0000-0000530B0000}"/>
    <cellStyle name="Millares 36 3 3" xfId="2142" xr:uid="{00000000-0005-0000-0000-0000540B0000}"/>
    <cellStyle name="Millares 36 3 3 2" xfId="3724" xr:uid="{00000000-0005-0000-0000-0000550B0000}"/>
    <cellStyle name="Millares 36 3 4" xfId="1351" xr:uid="{00000000-0005-0000-0000-0000560B0000}"/>
    <cellStyle name="Millares 36 3 5" xfId="2933" xr:uid="{00000000-0005-0000-0000-0000570B0000}"/>
    <cellStyle name="Millares 36 4" xfId="621" xr:uid="{00000000-0005-0000-0000-0000580B0000}"/>
    <cellStyle name="Millares 36 4 2" xfId="1021" xr:uid="{00000000-0005-0000-0000-0000590B0000}"/>
    <cellStyle name="Millares 36 4 2 2" xfId="2604" xr:uid="{00000000-0005-0000-0000-00005A0B0000}"/>
    <cellStyle name="Millares 36 4 2 2 2" xfId="4186" xr:uid="{00000000-0005-0000-0000-00005B0B0000}"/>
    <cellStyle name="Millares 36 4 2 3" xfId="1813" xr:uid="{00000000-0005-0000-0000-00005C0B0000}"/>
    <cellStyle name="Millares 36 4 2 4" xfId="3395" xr:uid="{00000000-0005-0000-0000-00005D0B0000}"/>
    <cellStyle name="Millares 36 4 3" xfId="2210" xr:uid="{00000000-0005-0000-0000-00005E0B0000}"/>
    <cellStyle name="Millares 36 4 3 2" xfId="3792" xr:uid="{00000000-0005-0000-0000-00005F0B0000}"/>
    <cellStyle name="Millares 36 4 4" xfId="1419" xr:uid="{00000000-0005-0000-0000-0000600B0000}"/>
    <cellStyle name="Millares 36 4 5" xfId="3001" xr:uid="{00000000-0005-0000-0000-0000610B0000}"/>
    <cellStyle name="Millares 36 5" xfId="800" xr:uid="{00000000-0005-0000-0000-0000620B0000}"/>
    <cellStyle name="Millares 36 5 2" xfId="2383" xr:uid="{00000000-0005-0000-0000-0000630B0000}"/>
    <cellStyle name="Millares 36 5 2 2" xfId="3965" xr:uid="{00000000-0005-0000-0000-0000640B0000}"/>
    <cellStyle name="Millares 36 5 3" xfId="1592" xr:uid="{00000000-0005-0000-0000-0000650B0000}"/>
    <cellStyle name="Millares 36 5 4" xfId="3174" xr:uid="{00000000-0005-0000-0000-0000660B0000}"/>
    <cellStyle name="Millares 36 6" xfId="1989" xr:uid="{00000000-0005-0000-0000-0000670B0000}"/>
    <cellStyle name="Millares 36 6 2" xfId="3571" xr:uid="{00000000-0005-0000-0000-0000680B0000}"/>
    <cellStyle name="Millares 36 7" xfId="1198" xr:uid="{00000000-0005-0000-0000-0000690B0000}"/>
    <cellStyle name="Millares 36 8" xfId="2780" xr:uid="{00000000-0005-0000-0000-00006A0B0000}"/>
    <cellStyle name="Millares 37" xfId="367" xr:uid="{00000000-0005-0000-0000-00006B0B0000}"/>
    <cellStyle name="Millares 37 2" xfId="485" xr:uid="{00000000-0005-0000-0000-00006C0B0000}"/>
    <cellStyle name="Millares 37 2 2" xfId="713" xr:uid="{00000000-0005-0000-0000-00006D0B0000}"/>
    <cellStyle name="Millares 37 2 2 2" xfId="1113" xr:uid="{00000000-0005-0000-0000-00006E0B0000}"/>
    <cellStyle name="Millares 37 2 2 2 2" xfId="2696" xr:uid="{00000000-0005-0000-0000-00006F0B0000}"/>
    <cellStyle name="Millares 37 2 2 2 2 2" xfId="4278" xr:uid="{00000000-0005-0000-0000-0000700B0000}"/>
    <cellStyle name="Millares 37 2 2 2 3" xfId="1905" xr:uid="{00000000-0005-0000-0000-0000710B0000}"/>
    <cellStyle name="Millares 37 2 2 2 4" xfId="3487" xr:uid="{00000000-0005-0000-0000-0000720B0000}"/>
    <cellStyle name="Millares 37 2 2 3" xfId="2302" xr:uid="{00000000-0005-0000-0000-0000730B0000}"/>
    <cellStyle name="Millares 37 2 2 3 2" xfId="3884" xr:uid="{00000000-0005-0000-0000-0000740B0000}"/>
    <cellStyle name="Millares 37 2 2 4" xfId="1511" xr:uid="{00000000-0005-0000-0000-0000750B0000}"/>
    <cellStyle name="Millares 37 2 2 5" xfId="3093" xr:uid="{00000000-0005-0000-0000-0000760B0000}"/>
    <cellStyle name="Millares 37 2 3" xfId="892" xr:uid="{00000000-0005-0000-0000-0000770B0000}"/>
    <cellStyle name="Millares 37 2 3 2" xfId="2475" xr:uid="{00000000-0005-0000-0000-0000780B0000}"/>
    <cellStyle name="Millares 37 2 3 2 2" xfId="4057" xr:uid="{00000000-0005-0000-0000-0000790B0000}"/>
    <cellStyle name="Millares 37 2 3 3" xfId="1684" xr:uid="{00000000-0005-0000-0000-00007A0B0000}"/>
    <cellStyle name="Millares 37 2 3 4" xfId="3266" xr:uid="{00000000-0005-0000-0000-00007B0B0000}"/>
    <cellStyle name="Millares 37 2 4" xfId="2081" xr:uid="{00000000-0005-0000-0000-00007C0B0000}"/>
    <cellStyle name="Millares 37 2 4 2" xfId="3663" xr:uid="{00000000-0005-0000-0000-00007D0B0000}"/>
    <cellStyle name="Millares 37 2 5" xfId="1290" xr:uid="{00000000-0005-0000-0000-00007E0B0000}"/>
    <cellStyle name="Millares 37 2 6" xfId="2872" xr:uid="{00000000-0005-0000-0000-00007F0B0000}"/>
    <cellStyle name="Millares 37 3" xfId="562" xr:uid="{00000000-0005-0000-0000-0000800B0000}"/>
    <cellStyle name="Millares 37 3 2" xfId="969" xr:uid="{00000000-0005-0000-0000-0000810B0000}"/>
    <cellStyle name="Millares 37 3 2 2" xfId="2552" xr:uid="{00000000-0005-0000-0000-0000820B0000}"/>
    <cellStyle name="Millares 37 3 2 2 2" xfId="4134" xr:uid="{00000000-0005-0000-0000-0000830B0000}"/>
    <cellStyle name="Millares 37 3 2 3" xfId="1761" xr:uid="{00000000-0005-0000-0000-0000840B0000}"/>
    <cellStyle name="Millares 37 3 2 4" xfId="3343" xr:uid="{00000000-0005-0000-0000-0000850B0000}"/>
    <cellStyle name="Millares 37 3 3" xfId="2158" xr:uid="{00000000-0005-0000-0000-0000860B0000}"/>
    <cellStyle name="Millares 37 3 3 2" xfId="3740" xr:uid="{00000000-0005-0000-0000-0000870B0000}"/>
    <cellStyle name="Millares 37 3 4" xfId="1367" xr:uid="{00000000-0005-0000-0000-0000880B0000}"/>
    <cellStyle name="Millares 37 3 5" xfId="2949" xr:uid="{00000000-0005-0000-0000-0000890B0000}"/>
    <cellStyle name="Millares 37 4" xfId="637" xr:uid="{00000000-0005-0000-0000-00008A0B0000}"/>
    <cellStyle name="Millares 37 4 2" xfId="1037" xr:uid="{00000000-0005-0000-0000-00008B0B0000}"/>
    <cellStyle name="Millares 37 4 2 2" xfId="2620" xr:uid="{00000000-0005-0000-0000-00008C0B0000}"/>
    <cellStyle name="Millares 37 4 2 2 2" xfId="4202" xr:uid="{00000000-0005-0000-0000-00008D0B0000}"/>
    <cellStyle name="Millares 37 4 2 3" xfId="1829" xr:uid="{00000000-0005-0000-0000-00008E0B0000}"/>
    <cellStyle name="Millares 37 4 2 4" xfId="3411" xr:uid="{00000000-0005-0000-0000-00008F0B0000}"/>
    <cellStyle name="Millares 37 4 3" xfId="2226" xr:uid="{00000000-0005-0000-0000-0000900B0000}"/>
    <cellStyle name="Millares 37 4 3 2" xfId="3808" xr:uid="{00000000-0005-0000-0000-0000910B0000}"/>
    <cellStyle name="Millares 37 4 4" xfId="1435" xr:uid="{00000000-0005-0000-0000-0000920B0000}"/>
    <cellStyle name="Millares 37 4 5" xfId="3017" xr:uid="{00000000-0005-0000-0000-0000930B0000}"/>
    <cellStyle name="Millares 37 5" xfId="816" xr:uid="{00000000-0005-0000-0000-0000940B0000}"/>
    <cellStyle name="Millares 37 5 2" xfId="2399" xr:uid="{00000000-0005-0000-0000-0000950B0000}"/>
    <cellStyle name="Millares 37 5 2 2" xfId="3981" xr:uid="{00000000-0005-0000-0000-0000960B0000}"/>
    <cellStyle name="Millares 37 5 3" xfId="1608" xr:uid="{00000000-0005-0000-0000-0000970B0000}"/>
    <cellStyle name="Millares 37 5 4" xfId="3190" xr:uid="{00000000-0005-0000-0000-0000980B0000}"/>
    <cellStyle name="Millares 37 6" xfId="2005" xr:uid="{00000000-0005-0000-0000-0000990B0000}"/>
    <cellStyle name="Millares 37 6 2" xfId="3587" xr:uid="{00000000-0005-0000-0000-00009A0B0000}"/>
    <cellStyle name="Millares 37 7" xfId="1214" xr:uid="{00000000-0005-0000-0000-00009B0B0000}"/>
    <cellStyle name="Millares 37 8" xfId="2796" xr:uid="{00000000-0005-0000-0000-00009C0B0000}"/>
    <cellStyle name="Millares 38" xfId="349" xr:uid="{00000000-0005-0000-0000-00009D0B0000}"/>
    <cellStyle name="Millares 38 2" xfId="470" xr:uid="{00000000-0005-0000-0000-00009E0B0000}"/>
    <cellStyle name="Millares 38 2 2" xfId="698" xr:uid="{00000000-0005-0000-0000-00009F0B0000}"/>
    <cellStyle name="Millares 38 2 2 2" xfId="1098" xr:uid="{00000000-0005-0000-0000-0000A00B0000}"/>
    <cellStyle name="Millares 38 2 2 2 2" xfId="2681" xr:uid="{00000000-0005-0000-0000-0000A10B0000}"/>
    <cellStyle name="Millares 38 2 2 2 2 2" xfId="4263" xr:uid="{00000000-0005-0000-0000-0000A20B0000}"/>
    <cellStyle name="Millares 38 2 2 2 3" xfId="1890" xr:uid="{00000000-0005-0000-0000-0000A30B0000}"/>
    <cellStyle name="Millares 38 2 2 2 4" xfId="3472" xr:uid="{00000000-0005-0000-0000-0000A40B0000}"/>
    <cellStyle name="Millares 38 2 2 3" xfId="2287" xr:uid="{00000000-0005-0000-0000-0000A50B0000}"/>
    <cellStyle name="Millares 38 2 2 3 2" xfId="3869" xr:uid="{00000000-0005-0000-0000-0000A60B0000}"/>
    <cellStyle name="Millares 38 2 2 4" xfId="1496" xr:uid="{00000000-0005-0000-0000-0000A70B0000}"/>
    <cellStyle name="Millares 38 2 2 5" xfId="3078" xr:uid="{00000000-0005-0000-0000-0000A80B0000}"/>
    <cellStyle name="Millares 38 2 3" xfId="877" xr:uid="{00000000-0005-0000-0000-0000A90B0000}"/>
    <cellStyle name="Millares 38 2 3 2" xfId="2460" xr:uid="{00000000-0005-0000-0000-0000AA0B0000}"/>
    <cellStyle name="Millares 38 2 3 2 2" xfId="4042" xr:uid="{00000000-0005-0000-0000-0000AB0B0000}"/>
    <cellStyle name="Millares 38 2 3 3" xfId="1669" xr:uid="{00000000-0005-0000-0000-0000AC0B0000}"/>
    <cellStyle name="Millares 38 2 3 4" xfId="3251" xr:uid="{00000000-0005-0000-0000-0000AD0B0000}"/>
    <cellStyle name="Millares 38 2 4" xfId="2066" xr:uid="{00000000-0005-0000-0000-0000AE0B0000}"/>
    <cellStyle name="Millares 38 2 4 2" xfId="3648" xr:uid="{00000000-0005-0000-0000-0000AF0B0000}"/>
    <cellStyle name="Millares 38 2 5" xfId="1275" xr:uid="{00000000-0005-0000-0000-0000B00B0000}"/>
    <cellStyle name="Millares 38 2 6" xfId="2857" xr:uid="{00000000-0005-0000-0000-0000B10B0000}"/>
    <cellStyle name="Millares 38 3" xfId="547" xr:uid="{00000000-0005-0000-0000-0000B20B0000}"/>
    <cellStyle name="Millares 38 3 2" xfId="954" xr:uid="{00000000-0005-0000-0000-0000B30B0000}"/>
    <cellStyle name="Millares 38 3 2 2" xfId="2537" xr:uid="{00000000-0005-0000-0000-0000B40B0000}"/>
    <cellStyle name="Millares 38 3 2 2 2" xfId="4119" xr:uid="{00000000-0005-0000-0000-0000B50B0000}"/>
    <cellStyle name="Millares 38 3 2 3" xfId="1746" xr:uid="{00000000-0005-0000-0000-0000B60B0000}"/>
    <cellStyle name="Millares 38 3 2 4" xfId="3328" xr:uid="{00000000-0005-0000-0000-0000B70B0000}"/>
    <cellStyle name="Millares 38 3 3" xfId="2143" xr:uid="{00000000-0005-0000-0000-0000B80B0000}"/>
    <cellStyle name="Millares 38 3 3 2" xfId="3725" xr:uid="{00000000-0005-0000-0000-0000B90B0000}"/>
    <cellStyle name="Millares 38 3 4" xfId="1352" xr:uid="{00000000-0005-0000-0000-0000BA0B0000}"/>
    <cellStyle name="Millares 38 3 5" xfId="2934" xr:uid="{00000000-0005-0000-0000-0000BB0B0000}"/>
    <cellStyle name="Millares 38 4" xfId="622" xr:uid="{00000000-0005-0000-0000-0000BC0B0000}"/>
    <cellStyle name="Millares 38 4 2" xfId="1022" xr:uid="{00000000-0005-0000-0000-0000BD0B0000}"/>
    <cellStyle name="Millares 38 4 2 2" xfId="2605" xr:uid="{00000000-0005-0000-0000-0000BE0B0000}"/>
    <cellStyle name="Millares 38 4 2 2 2" xfId="4187" xr:uid="{00000000-0005-0000-0000-0000BF0B0000}"/>
    <cellStyle name="Millares 38 4 2 3" xfId="1814" xr:uid="{00000000-0005-0000-0000-0000C00B0000}"/>
    <cellStyle name="Millares 38 4 2 4" xfId="3396" xr:uid="{00000000-0005-0000-0000-0000C10B0000}"/>
    <cellStyle name="Millares 38 4 3" xfId="2211" xr:uid="{00000000-0005-0000-0000-0000C20B0000}"/>
    <cellStyle name="Millares 38 4 3 2" xfId="3793" xr:uid="{00000000-0005-0000-0000-0000C30B0000}"/>
    <cellStyle name="Millares 38 4 4" xfId="1420" xr:uid="{00000000-0005-0000-0000-0000C40B0000}"/>
    <cellStyle name="Millares 38 4 5" xfId="3002" xr:uid="{00000000-0005-0000-0000-0000C50B0000}"/>
    <cellStyle name="Millares 38 5" xfId="801" xr:uid="{00000000-0005-0000-0000-0000C60B0000}"/>
    <cellStyle name="Millares 38 5 2" xfId="2384" xr:uid="{00000000-0005-0000-0000-0000C70B0000}"/>
    <cellStyle name="Millares 38 5 2 2" xfId="3966" xr:uid="{00000000-0005-0000-0000-0000C80B0000}"/>
    <cellStyle name="Millares 38 5 3" xfId="1593" xr:uid="{00000000-0005-0000-0000-0000C90B0000}"/>
    <cellStyle name="Millares 38 5 4" xfId="3175" xr:uid="{00000000-0005-0000-0000-0000CA0B0000}"/>
    <cellStyle name="Millares 38 6" xfId="1990" xr:uid="{00000000-0005-0000-0000-0000CB0B0000}"/>
    <cellStyle name="Millares 38 6 2" xfId="3572" xr:uid="{00000000-0005-0000-0000-0000CC0B0000}"/>
    <cellStyle name="Millares 38 7" xfId="1199" xr:uid="{00000000-0005-0000-0000-0000CD0B0000}"/>
    <cellStyle name="Millares 38 8" xfId="2781" xr:uid="{00000000-0005-0000-0000-0000CE0B0000}"/>
    <cellStyle name="Millares 39" xfId="437" xr:uid="{00000000-0005-0000-0000-0000CF0B0000}"/>
    <cellStyle name="Millares 39 2" xfId="513" xr:uid="{00000000-0005-0000-0000-0000D00B0000}"/>
    <cellStyle name="Millares 39 2 2" xfId="741" xr:uid="{00000000-0005-0000-0000-0000D10B0000}"/>
    <cellStyle name="Millares 39 2 2 2" xfId="1141" xr:uid="{00000000-0005-0000-0000-0000D20B0000}"/>
    <cellStyle name="Millares 39 2 2 2 2" xfId="2724" xr:uid="{00000000-0005-0000-0000-0000D30B0000}"/>
    <cellStyle name="Millares 39 2 2 2 2 2" xfId="4306" xr:uid="{00000000-0005-0000-0000-0000D40B0000}"/>
    <cellStyle name="Millares 39 2 2 2 3" xfId="1933" xr:uid="{00000000-0005-0000-0000-0000D50B0000}"/>
    <cellStyle name="Millares 39 2 2 2 4" xfId="3515" xr:uid="{00000000-0005-0000-0000-0000D60B0000}"/>
    <cellStyle name="Millares 39 2 2 3" xfId="2330" xr:uid="{00000000-0005-0000-0000-0000D70B0000}"/>
    <cellStyle name="Millares 39 2 2 3 2" xfId="3912" xr:uid="{00000000-0005-0000-0000-0000D80B0000}"/>
    <cellStyle name="Millares 39 2 2 4" xfId="1539" xr:uid="{00000000-0005-0000-0000-0000D90B0000}"/>
    <cellStyle name="Millares 39 2 2 5" xfId="3121" xr:uid="{00000000-0005-0000-0000-0000DA0B0000}"/>
    <cellStyle name="Millares 39 2 3" xfId="920" xr:uid="{00000000-0005-0000-0000-0000DB0B0000}"/>
    <cellStyle name="Millares 39 2 3 2" xfId="2503" xr:uid="{00000000-0005-0000-0000-0000DC0B0000}"/>
    <cellStyle name="Millares 39 2 3 2 2" xfId="4085" xr:uid="{00000000-0005-0000-0000-0000DD0B0000}"/>
    <cellStyle name="Millares 39 2 3 3" xfId="1712" xr:uid="{00000000-0005-0000-0000-0000DE0B0000}"/>
    <cellStyle name="Millares 39 2 3 4" xfId="3294" xr:uid="{00000000-0005-0000-0000-0000DF0B0000}"/>
    <cellStyle name="Millares 39 2 4" xfId="2109" xr:uid="{00000000-0005-0000-0000-0000E00B0000}"/>
    <cellStyle name="Millares 39 2 4 2" xfId="3691" xr:uid="{00000000-0005-0000-0000-0000E10B0000}"/>
    <cellStyle name="Millares 39 2 5" xfId="1318" xr:uid="{00000000-0005-0000-0000-0000E20B0000}"/>
    <cellStyle name="Millares 39 2 6" xfId="2900" xr:uid="{00000000-0005-0000-0000-0000E30B0000}"/>
    <cellStyle name="Millares 39 3" xfId="665" xr:uid="{00000000-0005-0000-0000-0000E40B0000}"/>
    <cellStyle name="Millares 39 3 2" xfId="1065" xr:uid="{00000000-0005-0000-0000-0000E50B0000}"/>
    <cellStyle name="Millares 39 3 2 2" xfId="2648" xr:uid="{00000000-0005-0000-0000-0000E60B0000}"/>
    <cellStyle name="Millares 39 3 2 2 2" xfId="4230" xr:uid="{00000000-0005-0000-0000-0000E70B0000}"/>
    <cellStyle name="Millares 39 3 2 3" xfId="1857" xr:uid="{00000000-0005-0000-0000-0000E80B0000}"/>
    <cellStyle name="Millares 39 3 2 4" xfId="3439" xr:uid="{00000000-0005-0000-0000-0000E90B0000}"/>
    <cellStyle name="Millares 39 3 3" xfId="2254" xr:uid="{00000000-0005-0000-0000-0000EA0B0000}"/>
    <cellStyle name="Millares 39 3 3 2" xfId="3836" xr:uid="{00000000-0005-0000-0000-0000EB0B0000}"/>
    <cellStyle name="Millares 39 3 4" xfId="1463" xr:uid="{00000000-0005-0000-0000-0000EC0B0000}"/>
    <cellStyle name="Millares 39 3 5" xfId="3045" xr:uid="{00000000-0005-0000-0000-0000ED0B0000}"/>
    <cellStyle name="Millares 39 4" xfId="844" xr:uid="{00000000-0005-0000-0000-0000EE0B0000}"/>
    <cellStyle name="Millares 39 4 2" xfId="2427" xr:uid="{00000000-0005-0000-0000-0000EF0B0000}"/>
    <cellStyle name="Millares 39 4 2 2" xfId="4009" xr:uid="{00000000-0005-0000-0000-0000F00B0000}"/>
    <cellStyle name="Millares 39 4 3" xfId="1636" xr:uid="{00000000-0005-0000-0000-0000F10B0000}"/>
    <cellStyle name="Millares 39 4 4" xfId="3218" xr:uid="{00000000-0005-0000-0000-0000F20B0000}"/>
    <cellStyle name="Millares 39 5" xfId="2033" xr:uid="{00000000-0005-0000-0000-0000F30B0000}"/>
    <cellStyle name="Millares 39 5 2" xfId="3615" xr:uid="{00000000-0005-0000-0000-0000F40B0000}"/>
    <cellStyle name="Millares 39 6" xfId="1242" xr:uid="{00000000-0005-0000-0000-0000F50B0000}"/>
    <cellStyle name="Millares 39 7" xfId="2824" xr:uid="{00000000-0005-0000-0000-0000F60B0000}"/>
    <cellStyle name="Millares 4" xfId="5" xr:uid="{00000000-0005-0000-0000-0000F70B0000}"/>
    <cellStyle name="Millares 4 10" xfId="1177" xr:uid="{00000000-0005-0000-0000-0000F80B0000}"/>
    <cellStyle name="Millares 4 11" xfId="2759" xr:uid="{00000000-0005-0000-0000-0000F90B0000}"/>
    <cellStyle name="Millares 4 12" xfId="4626" xr:uid="{51E9F08A-C9B4-42B2-A870-D79A9D37FC62}"/>
    <cellStyle name="Millares 4 12 2" xfId="5002" xr:uid="{5E0862B8-3271-4D71-A508-75219C0B5FE5}"/>
    <cellStyle name="Millares 4 13" xfId="4889" xr:uid="{4D8B2EEA-ABA3-4C25-BD22-6175853FB6CB}"/>
    <cellStyle name="Millares 4 13 2" xfId="5174" xr:uid="{3C4004C1-119C-4781-B223-10769885BF4B}"/>
    <cellStyle name="Millares 4 14" xfId="4389" xr:uid="{031378F8-6A6A-4622-B923-C93842CB5A27}"/>
    <cellStyle name="Millares 4 15" xfId="4904" xr:uid="{DBD7ADC9-7F83-4EF6-BA75-389CB9E9DD9A}"/>
    <cellStyle name="Millares 4 2" xfId="312" xr:uid="{00000000-0005-0000-0000-0000FA0B0000}"/>
    <cellStyle name="Millares 4 2 10" xfId="2772" xr:uid="{00000000-0005-0000-0000-0000FB0B0000}"/>
    <cellStyle name="Millares 4 2 11" xfId="4630" xr:uid="{7C6FE405-80A8-4077-9CF8-CF8A60C8A5E8}"/>
    <cellStyle name="Millares 4 2 11 2" xfId="5006" xr:uid="{403B3001-144D-4C0D-BEAA-5BDFC75B407A}"/>
    <cellStyle name="Millares 4 2 12" xfId="4393" xr:uid="{646EE614-AAF5-4228-B74F-D86864EA6A44}"/>
    <cellStyle name="Millares 4 2 2" xfId="390" xr:uid="{00000000-0005-0000-0000-0000FC0B0000}"/>
    <cellStyle name="Millares 4 2 2 10" xfId="4419" xr:uid="{ED6CC0CB-8064-4CE1-8B93-60035813D076}"/>
    <cellStyle name="Millares 4 2 2 2" xfId="502" xr:uid="{00000000-0005-0000-0000-0000FD0B0000}"/>
    <cellStyle name="Millares 4 2 2 2 2" xfId="730" xr:uid="{00000000-0005-0000-0000-0000FE0B0000}"/>
    <cellStyle name="Millares 4 2 2 2 2 2" xfId="1130" xr:uid="{00000000-0005-0000-0000-0000FF0B0000}"/>
    <cellStyle name="Millares 4 2 2 2 2 2 2" xfId="2713" xr:uid="{00000000-0005-0000-0000-0000000C0000}"/>
    <cellStyle name="Millares 4 2 2 2 2 2 2 2" xfId="4295" xr:uid="{00000000-0005-0000-0000-0000010C0000}"/>
    <cellStyle name="Millares 4 2 2 2 2 2 3" xfId="1922" xr:uid="{00000000-0005-0000-0000-0000020C0000}"/>
    <cellStyle name="Millares 4 2 2 2 2 2 4" xfId="3504" xr:uid="{00000000-0005-0000-0000-0000030C0000}"/>
    <cellStyle name="Millares 4 2 2 2 2 3" xfId="2319" xr:uid="{00000000-0005-0000-0000-0000040C0000}"/>
    <cellStyle name="Millares 4 2 2 2 2 3 2" xfId="3901" xr:uid="{00000000-0005-0000-0000-0000050C0000}"/>
    <cellStyle name="Millares 4 2 2 2 2 4" xfId="1528" xr:uid="{00000000-0005-0000-0000-0000060C0000}"/>
    <cellStyle name="Millares 4 2 2 2 2 5" xfId="3110" xr:uid="{00000000-0005-0000-0000-0000070C0000}"/>
    <cellStyle name="Millares 4 2 2 2 3" xfId="909" xr:uid="{00000000-0005-0000-0000-0000080C0000}"/>
    <cellStyle name="Millares 4 2 2 2 3 2" xfId="2492" xr:uid="{00000000-0005-0000-0000-0000090C0000}"/>
    <cellStyle name="Millares 4 2 2 2 3 2 2" xfId="4074" xr:uid="{00000000-0005-0000-0000-00000A0C0000}"/>
    <cellStyle name="Millares 4 2 2 2 3 3" xfId="1701" xr:uid="{00000000-0005-0000-0000-00000B0C0000}"/>
    <cellStyle name="Millares 4 2 2 2 3 4" xfId="3283" xr:uid="{00000000-0005-0000-0000-00000C0C0000}"/>
    <cellStyle name="Millares 4 2 2 2 4" xfId="2098" xr:uid="{00000000-0005-0000-0000-00000D0C0000}"/>
    <cellStyle name="Millares 4 2 2 2 4 2" xfId="3680" xr:uid="{00000000-0005-0000-0000-00000E0C0000}"/>
    <cellStyle name="Millares 4 2 2 2 5" xfId="1307" xr:uid="{00000000-0005-0000-0000-00000F0C0000}"/>
    <cellStyle name="Millares 4 2 2 2 6" xfId="2889" xr:uid="{00000000-0005-0000-0000-0000100C0000}"/>
    <cellStyle name="Millares 4 2 2 3" xfId="579" xr:uid="{00000000-0005-0000-0000-0000110C0000}"/>
    <cellStyle name="Millares 4 2 2 3 2" xfId="986" xr:uid="{00000000-0005-0000-0000-0000120C0000}"/>
    <cellStyle name="Millares 4 2 2 3 2 2" xfId="2569" xr:uid="{00000000-0005-0000-0000-0000130C0000}"/>
    <cellStyle name="Millares 4 2 2 3 2 2 2" xfId="4151" xr:uid="{00000000-0005-0000-0000-0000140C0000}"/>
    <cellStyle name="Millares 4 2 2 3 2 3" xfId="1778" xr:uid="{00000000-0005-0000-0000-0000150C0000}"/>
    <cellStyle name="Millares 4 2 2 3 2 4" xfId="3360" xr:uid="{00000000-0005-0000-0000-0000160C0000}"/>
    <cellStyle name="Millares 4 2 2 3 3" xfId="2175" xr:uid="{00000000-0005-0000-0000-0000170C0000}"/>
    <cellStyle name="Millares 4 2 2 3 3 2" xfId="3757" xr:uid="{00000000-0005-0000-0000-0000180C0000}"/>
    <cellStyle name="Millares 4 2 2 3 4" xfId="1384" xr:uid="{00000000-0005-0000-0000-0000190C0000}"/>
    <cellStyle name="Millares 4 2 2 3 5" xfId="2966" xr:uid="{00000000-0005-0000-0000-00001A0C0000}"/>
    <cellStyle name="Millares 4 2 2 4" xfId="654" xr:uid="{00000000-0005-0000-0000-00001B0C0000}"/>
    <cellStyle name="Millares 4 2 2 4 2" xfId="1054" xr:uid="{00000000-0005-0000-0000-00001C0C0000}"/>
    <cellStyle name="Millares 4 2 2 4 2 2" xfId="2637" xr:uid="{00000000-0005-0000-0000-00001D0C0000}"/>
    <cellStyle name="Millares 4 2 2 4 2 2 2" xfId="4219" xr:uid="{00000000-0005-0000-0000-00001E0C0000}"/>
    <cellStyle name="Millares 4 2 2 4 2 3" xfId="1846" xr:uid="{00000000-0005-0000-0000-00001F0C0000}"/>
    <cellStyle name="Millares 4 2 2 4 2 4" xfId="3428" xr:uid="{00000000-0005-0000-0000-0000200C0000}"/>
    <cellStyle name="Millares 4 2 2 4 3" xfId="2243" xr:uid="{00000000-0005-0000-0000-0000210C0000}"/>
    <cellStyle name="Millares 4 2 2 4 3 2" xfId="3825" xr:uid="{00000000-0005-0000-0000-0000220C0000}"/>
    <cellStyle name="Millares 4 2 2 4 4" xfId="1452" xr:uid="{00000000-0005-0000-0000-0000230C0000}"/>
    <cellStyle name="Millares 4 2 2 4 5" xfId="3034" xr:uid="{00000000-0005-0000-0000-0000240C0000}"/>
    <cellStyle name="Millares 4 2 2 5" xfId="833" xr:uid="{00000000-0005-0000-0000-0000250C0000}"/>
    <cellStyle name="Millares 4 2 2 5 2" xfId="2416" xr:uid="{00000000-0005-0000-0000-0000260C0000}"/>
    <cellStyle name="Millares 4 2 2 5 2 2" xfId="3998" xr:uid="{00000000-0005-0000-0000-0000270C0000}"/>
    <cellStyle name="Millares 4 2 2 5 3" xfId="1625" xr:uid="{00000000-0005-0000-0000-0000280C0000}"/>
    <cellStyle name="Millares 4 2 2 5 4" xfId="3207" xr:uid="{00000000-0005-0000-0000-0000290C0000}"/>
    <cellStyle name="Millares 4 2 2 6" xfId="2022" xr:uid="{00000000-0005-0000-0000-00002A0C0000}"/>
    <cellStyle name="Millares 4 2 2 6 2" xfId="3604" xr:uid="{00000000-0005-0000-0000-00002B0C0000}"/>
    <cellStyle name="Millares 4 2 2 7" xfId="1231" xr:uid="{00000000-0005-0000-0000-00002C0C0000}"/>
    <cellStyle name="Millares 4 2 2 8" xfId="2813" xr:uid="{00000000-0005-0000-0000-00002D0C0000}"/>
    <cellStyle name="Millares 4 2 2 9" xfId="4651" xr:uid="{69B6AAD4-E182-4F81-B76E-A8D68E14C9C5}"/>
    <cellStyle name="Millares 4 2 2 9 2" xfId="5024" xr:uid="{90C84466-6524-4DB5-846D-9FAF8C44CE34}"/>
    <cellStyle name="Millares 4 2 3" xfId="461" xr:uid="{00000000-0005-0000-0000-00002E0C0000}"/>
    <cellStyle name="Millares 4 2 3 2" xfId="689" xr:uid="{00000000-0005-0000-0000-00002F0C0000}"/>
    <cellStyle name="Millares 4 2 3 2 2" xfId="1089" xr:uid="{00000000-0005-0000-0000-0000300C0000}"/>
    <cellStyle name="Millares 4 2 3 2 2 2" xfId="2672" xr:uid="{00000000-0005-0000-0000-0000310C0000}"/>
    <cellStyle name="Millares 4 2 3 2 2 2 2" xfId="4254" xr:uid="{00000000-0005-0000-0000-0000320C0000}"/>
    <cellStyle name="Millares 4 2 3 2 2 3" xfId="1881" xr:uid="{00000000-0005-0000-0000-0000330C0000}"/>
    <cellStyle name="Millares 4 2 3 2 2 4" xfId="3463" xr:uid="{00000000-0005-0000-0000-0000340C0000}"/>
    <cellStyle name="Millares 4 2 3 2 3" xfId="2278" xr:uid="{00000000-0005-0000-0000-0000350C0000}"/>
    <cellStyle name="Millares 4 2 3 2 3 2" xfId="3860" xr:uid="{00000000-0005-0000-0000-0000360C0000}"/>
    <cellStyle name="Millares 4 2 3 2 4" xfId="1487" xr:uid="{00000000-0005-0000-0000-0000370C0000}"/>
    <cellStyle name="Millares 4 2 3 2 5" xfId="3069" xr:uid="{00000000-0005-0000-0000-0000380C0000}"/>
    <cellStyle name="Millares 4 2 3 3" xfId="868" xr:uid="{00000000-0005-0000-0000-0000390C0000}"/>
    <cellStyle name="Millares 4 2 3 3 2" xfId="2451" xr:uid="{00000000-0005-0000-0000-00003A0C0000}"/>
    <cellStyle name="Millares 4 2 3 3 2 2" xfId="4033" xr:uid="{00000000-0005-0000-0000-00003B0C0000}"/>
    <cellStyle name="Millares 4 2 3 3 3" xfId="1660" xr:uid="{00000000-0005-0000-0000-00003C0C0000}"/>
    <cellStyle name="Millares 4 2 3 3 4" xfId="3242" xr:uid="{00000000-0005-0000-0000-00003D0C0000}"/>
    <cellStyle name="Millares 4 2 3 4" xfId="2057" xr:uid="{00000000-0005-0000-0000-00003E0C0000}"/>
    <cellStyle name="Millares 4 2 3 4 2" xfId="3639" xr:uid="{00000000-0005-0000-0000-00003F0C0000}"/>
    <cellStyle name="Millares 4 2 3 5" xfId="1266" xr:uid="{00000000-0005-0000-0000-0000400C0000}"/>
    <cellStyle name="Millares 4 2 3 6" xfId="2848" xr:uid="{00000000-0005-0000-0000-0000410C0000}"/>
    <cellStyle name="Millares 4 2 4" xfId="538" xr:uid="{00000000-0005-0000-0000-0000420C0000}"/>
    <cellStyle name="Millares 4 2 4 2" xfId="945" xr:uid="{00000000-0005-0000-0000-0000430C0000}"/>
    <cellStyle name="Millares 4 2 4 2 2" xfId="2528" xr:uid="{00000000-0005-0000-0000-0000440C0000}"/>
    <cellStyle name="Millares 4 2 4 2 2 2" xfId="4110" xr:uid="{00000000-0005-0000-0000-0000450C0000}"/>
    <cellStyle name="Millares 4 2 4 2 3" xfId="1737" xr:uid="{00000000-0005-0000-0000-0000460C0000}"/>
    <cellStyle name="Millares 4 2 4 2 4" xfId="3319" xr:uid="{00000000-0005-0000-0000-0000470C0000}"/>
    <cellStyle name="Millares 4 2 4 3" xfId="2134" xr:uid="{00000000-0005-0000-0000-0000480C0000}"/>
    <cellStyle name="Millares 4 2 4 3 2" xfId="3716" xr:uid="{00000000-0005-0000-0000-0000490C0000}"/>
    <cellStyle name="Millares 4 2 4 4" xfId="1343" xr:uid="{00000000-0005-0000-0000-00004A0C0000}"/>
    <cellStyle name="Millares 4 2 4 5" xfId="2925" xr:uid="{00000000-0005-0000-0000-00004B0C0000}"/>
    <cellStyle name="Millares 4 2 5" xfId="613" xr:uid="{00000000-0005-0000-0000-00004C0C0000}"/>
    <cellStyle name="Millares 4 2 5 2" xfId="1013" xr:uid="{00000000-0005-0000-0000-00004D0C0000}"/>
    <cellStyle name="Millares 4 2 5 2 2" xfId="2596" xr:uid="{00000000-0005-0000-0000-00004E0C0000}"/>
    <cellStyle name="Millares 4 2 5 2 2 2" xfId="4178" xr:uid="{00000000-0005-0000-0000-00004F0C0000}"/>
    <cellStyle name="Millares 4 2 5 2 3" xfId="1805" xr:uid="{00000000-0005-0000-0000-0000500C0000}"/>
    <cellStyle name="Millares 4 2 5 2 4" xfId="3387" xr:uid="{00000000-0005-0000-0000-0000510C0000}"/>
    <cellStyle name="Millares 4 2 5 3" xfId="2202" xr:uid="{00000000-0005-0000-0000-0000520C0000}"/>
    <cellStyle name="Millares 4 2 5 3 2" xfId="3784" xr:uid="{00000000-0005-0000-0000-0000530C0000}"/>
    <cellStyle name="Millares 4 2 5 4" xfId="1411" xr:uid="{00000000-0005-0000-0000-0000540C0000}"/>
    <cellStyle name="Millares 4 2 5 5" xfId="2993" xr:uid="{00000000-0005-0000-0000-0000550C0000}"/>
    <cellStyle name="Millares 4 2 6" xfId="765" xr:uid="{00000000-0005-0000-0000-0000560C0000}"/>
    <cellStyle name="Millares 4 2 6 2" xfId="1165" xr:uid="{00000000-0005-0000-0000-0000570C0000}"/>
    <cellStyle name="Millares 4 2 6 2 2" xfId="2748" xr:uid="{00000000-0005-0000-0000-0000580C0000}"/>
    <cellStyle name="Millares 4 2 6 2 2 2" xfId="4330" xr:uid="{00000000-0005-0000-0000-0000590C0000}"/>
    <cellStyle name="Millares 4 2 6 2 3" xfId="1957" xr:uid="{00000000-0005-0000-0000-00005A0C0000}"/>
    <cellStyle name="Millares 4 2 6 2 4" xfId="3539" xr:uid="{00000000-0005-0000-0000-00005B0C0000}"/>
    <cellStyle name="Millares 4 2 6 3" xfId="2354" xr:uid="{00000000-0005-0000-0000-00005C0C0000}"/>
    <cellStyle name="Millares 4 2 6 3 2" xfId="3936" xr:uid="{00000000-0005-0000-0000-00005D0C0000}"/>
    <cellStyle name="Millares 4 2 6 4" xfId="1563" xr:uid="{00000000-0005-0000-0000-00005E0C0000}"/>
    <cellStyle name="Millares 4 2 6 5" xfId="3145" xr:uid="{00000000-0005-0000-0000-00005F0C0000}"/>
    <cellStyle name="Millares 4 2 7" xfId="792" xr:uid="{00000000-0005-0000-0000-0000600C0000}"/>
    <cellStyle name="Millares 4 2 7 2" xfId="2375" xr:uid="{00000000-0005-0000-0000-0000610C0000}"/>
    <cellStyle name="Millares 4 2 7 2 2" xfId="3957" xr:uid="{00000000-0005-0000-0000-0000620C0000}"/>
    <cellStyle name="Millares 4 2 7 3" xfId="1584" xr:uid="{00000000-0005-0000-0000-0000630C0000}"/>
    <cellStyle name="Millares 4 2 7 4" xfId="3166" xr:uid="{00000000-0005-0000-0000-0000640C0000}"/>
    <cellStyle name="Millares 4 2 8" xfId="1981" xr:uid="{00000000-0005-0000-0000-0000650C0000}"/>
    <cellStyle name="Millares 4 2 8 2" xfId="3563" xr:uid="{00000000-0005-0000-0000-0000660C0000}"/>
    <cellStyle name="Millares 4 2 9" xfId="1190" xr:uid="{00000000-0005-0000-0000-0000670C0000}"/>
    <cellStyle name="Millares 4 3" xfId="371" xr:uid="{00000000-0005-0000-0000-0000680C0000}"/>
    <cellStyle name="Millares 4 3 2" xfId="489" xr:uid="{00000000-0005-0000-0000-0000690C0000}"/>
    <cellStyle name="Millares 4 3 2 2" xfId="717" xr:uid="{00000000-0005-0000-0000-00006A0C0000}"/>
    <cellStyle name="Millares 4 3 2 2 2" xfId="1117" xr:uid="{00000000-0005-0000-0000-00006B0C0000}"/>
    <cellStyle name="Millares 4 3 2 2 2 2" xfId="2700" xr:uid="{00000000-0005-0000-0000-00006C0C0000}"/>
    <cellStyle name="Millares 4 3 2 2 2 2 2" xfId="4282" xr:uid="{00000000-0005-0000-0000-00006D0C0000}"/>
    <cellStyle name="Millares 4 3 2 2 2 3" xfId="1909" xr:uid="{00000000-0005-0000-0000-00006E0C0000}"/>
    <cellStyle name="Millares 4 3 2 2 2 4" xfId="3491" xr:uid="{00000000-0005-0000-0000-00006F0C0000}"/>
    <cellStyle name="Millares 4 3 2 2 3" xfId="2306" xr:uid="{00000000-0005-0000-0000-0000700C0000}"/>
    <cellStyle name="Millares 4 3 2 2 3 2" xfId="3888" xr:uid="{00000000-0005-0000-0000-0000710C0000}"/>
    <cellStyle name="Millares 4 3 2 2 4" xfId="1515" xr:uid="{00000000-0005-0000-0000-0000720C0000}"/>
    <cellStyle name="Millares 4 3 2 2 5" xfId="3097" xr:uid="{00000000-0005-0000-0000-0000730C0000}"/>
    <cellStyle name="Millares 4 3 2 3" xfId="896" xr:uid="{00000000-0005-0000-0000-0000740C0000}"/>
    <cellStyle name="Millares 4 3 2 3 2" xfId="2479" xr:uid="{00000000-0005-0000-0000-0000750C0000}"/>
    <cellStyle name="Millares 4 3 2 3 2 2" xfId="4061" xr:uid="{00000000-0005-0000-0000-0000760C0000}"/>
    <cellStyle name="Millares 4 3 2 3 3" xfId="1688" xr:uid="{00000000-0005-0000-0000-0000770C0000}"/>
    <cellStyle name="Millares 4 3 2 3 4" xfId="3270" xr:uid="{00000000-0005-0000-0000-0000780C0000}"/>
    <cellStyle name="Millares 4 3 2 4" xfId="2085" xr:uid="{00000000-0005-0000-0000-0000790C0000}"/>
    <cellStyle name="Millares 4 3 2 4 2" xfId="3667" xr:uid="{00000000-0005-0000-0000-00007A0C0000}"/>
    <cellStyle name="Millares 4 3 2 5" xfId="1294" xr:uid="{00000000-0005-0000-0000-00007B0C0000}"/>
    <cellStyle name="Millares 4 3 2 6" xfId="2876" xr:uid="{00000000-0005-0000-0000-00007C0C0000}"/>
    <cellStyle name="Millares 4 3 3" xfId="566" xr:uid="{00000000-0005-0000-0000-00007D0C0000}"/>
    <cellStyle name="Millares 4 3 3 2" xfId="973" xr:uid="{00000000-0005-0000-0000-00007E0C0000}"/>
    <cellStyle name="Millares 4 3 3 2 2" xfId="2556" xr:uid="{00000000-0005-0000-0000-00007F0C0000}"/>
    <cellStyle name="Millares 4 3 3 2 2 2" xfId="4138" xr:uid="{00000000-0005-0000-0000-0000800C0000}"/>
    <cellStyle name="Millares 4 3 3 2 3" xfId="1765" xr:uid="{00000000-0005-0000-0000-0000810C0000}"/>
    <cellStyle name="Millares 4 3 3 2 4" xfId="3347" xr:uid="{00000000-0005-0000-0000-0000820C0000}"/>
    <cellStyle name="Millares 4 3 3 3" xfId="2162" xr:uid="{00000000-0005-0000-0000-0000830C0000}"/>
    <cellStyle name="Millares 4 3 3 3 2" xfId="3744" xr:uid="{00000000-0005-0000-0000-0000840C0000}"/>
    <cellStyle name="Millares 4 3 3 4" xfId="1371" xr:uid="{00000000-0005-0000-0000-0000850C0000}"/>
    <cellStyle name="Millares 4 3 3 5" xfId="2953" xr:uid="{00000000-0005-0000-0000-0000860C0000}"/>
    <cellStyle name="Millares 4 3 4" xfId="641" xr:uid="{00000000-0005-0000-0000-0000870C0000}"/>
    <cellStyle name="Millares 4 3 4 2" xfId="1041" xr:uid="{00000000-0005-0000-0000-0000880C0000}"/>
    <cellStyle name="Millares 4 3 4 2 2" xfId="2624" xr:uid="{00000000-0005-0000-0000-0000890C0000}"/>
    <cellStyle name="Millares 4 3 4 2 2 2" xfId="4206" xr:uid="{00000000-0005-0000-0000-00008A0C0000}"/>
    <cellStyle name="Millares 4 3 4 2 3" xfId="1833" xr:uid="{00000000-0005-0000-0000-00008B0C0000}"/>
    <cellStyle name="Millares 4 3 4 2 4" xfId="3415" xr:uid="{00000000-0005-0000-0000-00008C0C0000}"/>
    <cellStyle name="Millares 4 3 4 3" xfId="2230" xr:uid="{00000000-0005-0000-0000-00008D0C0000}"/>
    <cellStyle name="Millares 4 3 4 3 2" xfId="3812" xr:uid="{00000000-0005-0000-0000-00008E0C0000}"/>
    <cellStyle name="Millares 4 3 4 4" xfId="1439" xr:uid="{00000000-0005-0000-0000-00008F0C0000}"/>
    <cellStyle name="Millares 4 3 4 5" xfId="3021" xr:uid="{00000000-0005-0000-0000-0000900C0000}"/>
    <cellStyle name="Millares 4 3 5" xfId="820" xr:uid="{00000000-0005-0000-0000-0000910C0000}"/>
    <cellStyle name="Millares 4 3 5 2" xfId="2403" xr:uid="{00000000-0005-0000-0000-0000920C0000}"/>
    <cellStyle name="Millares 4 3 5 2 2" xfId="3985" xr:uid="{00000000-0005-0000-0000-0000930C0000}"/>
    <cellStyle name="Millares 4 3 5 3" xfId="1612" xr:uid="{00000000-0005-0000-0000-0000940C0000}"/>
    <cellStyle name="Millares 4 3 5 4" xfId="3194" xr:uid="{00000000-0005-0000-0000-0000950C0000}"/>
    <cellStyle name="Millares 4 3 6" xfId="2009" xr:uid="{00000000-0005-0000-0000-0000960C0000}"/>
    <cellStyle name="Millares 4 3 6 2" xfId="3591" xr:uid="{00000000-0005-0000-0000-0000970C0000}"/>
    <cellStyle name="Millares 4 3 7" xfId="1218" xr:uid="{00000000-0005-0000-0000-0000980C0000}"/>
    <cellStyle name="Millares 4 3 8" xfId="2800" xr:uid="{00000000-0005-0000-0000-0000990C0000}"/>
    <cellStyle name="Millares 4 4" xfId="448" xr:uid="{00000000-0005-0000-0000-00009A0C0000}"/>
    <cellStyle name="Millares 4 4 2" xfId="676" xr:uid="{00000000-0005-0000-0000-00009B0C0000}"/>
    <cellStyle name="Millares 4 4 2 2" xfId="1076" xr:uid="{00000000-0005-0000-0000-00009C0C0000}"/>
    <cellStyle name="Millares 4 4 2 2 2" xfId="2659" xr:uid="{00000000-0005-0000-0000-00009D0C0000}"/>
    <cellStyle name="Millares 4 4 2 2 2 2" xfId="4241" xr:uid="{00000000-0005-0000-0000-00009E0C0000}"/>
    <cellStyle name="Millares 4 4 2 2 3" xfId="1868" xr:uid="{00000000-0005-0000-0000-00009F0C0000}"/>
    <cellStyle name="Millares 4 4 2 2 4" xfId="3450" xr:uid="{00000000-0005-0000-0000-0000A00C0000}"/>
    <cellStyle name="Millares 4 4 2 3" xfId="2265" xr:uid="{00000000-0005-0000-0000-0000A10C0000}"/>
    <cellStyle name="Millares 4 4 2 3 2" xfId="3847" xr:uid="{00000000-0005-0000-0000-0000A20C0000}"/>
    <cellStyle name="Millares 4 4 2 4" xfId="1474" xr:uid="{00000000-0005-0000-0000-0000A30C0000}"/>
    <cellStyle name="Millares 4 4 2 5" xfId="3056" xr:uid="{00000000-0005-0000-0000-0000A40C0000}"/>
    <cellStyle name="Millares 4 4 3" xfId="855" xr:uid="{00000000-0005-0000-0000-0000A50C0000}"/>
    <cellStyle name="Millares 4 4 3 2" xfId="2438" xr:uid="{00000000-0005-0000-0000-0000A60C0000}"/>
    <cellStyle name="Millares 4 4 3 2 2" xfId="4020" xr:uid="{00000000-0005-0000-0000-0000A70C0000}"/>
    <cellStyle name="Millares 4 4 3 3" xfId="1647" xr:uid="{00000000-0005-0000-0000-0000A80C0000}"/>
    <cellStyle name="Millares 4 4 3 4" xfId="3229" xr:uid="{00000000-0005-0000-0000-0000A90C0000}"/>
    <cellStyle name="Millares 4 4 4" xfId="2044" xr:uid="{00000000-0005-0000-0000-0000AA0C0000}"/>
    <cellStyle name="Millares 4 4 4 2" xfId="3626" xr:uid="{00000000-0005-0000-0000-0000AB0C0000}"/>
    <cellStyle name="Millares 4 4 5" xfId="1253" xr:uid="{00000000-0005-0000-0000-0000AC0C0000}"/>
    <cellStyle name="Millares 4 4 6" xfId="2835" xr:uid="{00000000-0005-0000-0000-0000AD0C0000}"/>
    <cellStyle name="Millares 4 5" xfId="525" xr:uid="{00000000-0005-0000-0000-0000AE0C0000}"/>
    <cellStyle name="Millares 4 5 2" xfId="932" xr:uid="{00000000-0005-0000-0000-0000AF0C0000}"/>
    <cellStyle name="Millares 4 5 2 2" xfId="2515" xr:uid="{00000000-0005-0000-0000-0000B00C0000}"/>
    <cellStyle name="Millares 4 5 2 2 2" xfId="4097" xr:uid="{00000000-0005-0000-0000-0000B10C0000}"/>
    <cellStyle name="Millares 4 5 2 3" xfId="1724" xr:uid="{00000000-0005-0000-0000-0000B20C0000}"/>
    <cellStyle name="Millares 4 5 2 4" xfId="3306" xr:uid="{00000000-0005-0000-0000-0000B30C0000}"/>
    <cellStyle name="Millares 4 5 3" xfId="2121" xr:uid="{00000000-0005-0000-0000-0000B40C0000}"/>
    <cellStyle name="Millares 4 5 3 2" xfId="3703" xr:uid="{00000000-0005-0000-0000-0000B50C0000}"/>
    <cellStyle name="Millares 4 5 4" xfId="1330" xr:uid="{00000000-0005-0000-0000-0000B60C0000}"/>
    <cellStyle name="Millares 4 5 5" xfId="2912" xr:uid="{00000000-0005-0000-0000-0000B70C0000}"/>
    <cellStyle name="Millares 4 6" xfId="600" xr:uid="{00000000-0005-0000-0000-0000B80C0000}"/>
    <cellStyle name="Millares 4 6 2" xfId="1000" xr:uid="{00000000-0005-0000-0000-0000B90C0000}"/>
    <cellStyle name="Millares 4 6 2 2" xfId="2583" xr:uid="{00000000-0005-0000-0000-0000BA0C0000}"/>
    <cellStyle name="Millares 4 6 2 2 2" xfId="4165" xr:uid="{00000000-0005-0000-0000-0000BB0C0000}"/>
    <cellStyle name="Millares 4 6 2 3" xfId="1792" xr:uid="{00000000-0005-0000-0000-0000BC0C0000}"/>
    <cellStyle name="Millares 4 6 2 4" xfId="3374" xr:uid="{00000000-0005-0000-0000-0000BD0C0000}"/>
    <cellStyle name="Millares 4 6 3" xfId="2189" xr:uid="{00000000-0005-0000-0000-0000BE0C0000}"/>
    <cellStyle name="Millares 4 6 3 2" xfId="3771" xr:uid="{00000000-0005-0000-0000-0000BF0C0000}"/>
    <cellStyle name="Millares 4 6 4" xfId="1398" xr:uid="{00000000-0005-0000-0000-0000C00C0000}"/>
    <cellStyle name="Millares 4 6 5" xfId="2980" xr:uid="{00000000-0005-0000-0000-0000C10C0000}"/>
    <cellStyle name="Millares 4 7" xfId="752" xr:uid="{00000000-0005-0000-0000-0000C20C0000}"/>
    <cellStyle name="Millares 4 7 2" xfId="1152" xr:uid="{00000000-0005-0000-0000-0000C30C0000}"/>
    <cellStyle name="Millares 4 7 2 2" xfId="2735" xr:uid="{00000000-0005-0000-0000-0000C40C0000}"/>
    <cellStyle name="Millares 4 7 2 2 2" xfId="4317" xr:uid="{00000000-0005-0000-0000-0000C50C0000}"/>
    <cellStyle name="Millares 4 7 2 3" xfId="1944" xr:uid="{00000000-0005-0000-0000-0000C60C0000}"/>
    <cellStyle name="Millares 4 7 2 4" xfId="3526" xr:uid="{00000000-0005-0000-0000-0000C70C0000}"/>
    <cellStyle name="Millares 4 7 3" xfId="2341" xr:uid="{00000000-0005-0000-0000-0000C80C0000}"/>
    <cellStyle name="Millares 4 7 3 2" xfId="3923" xr:uid="{00000000-0005-0000-0000-0000C90C0000}"/>
    <cellStyle name="Millares 4 7 4" xfId="1550" xr:uid="{00000000-0005-0000-0000-0000CA0C0000}"/>
    <cellStyle name="Millares 4 7 5" xfId="3132" xr:uid="{00000000-0005-0000-0000-0000CB0C0000}"/>
    <cellStyle name="Millares 4 8" xfId="779" xr:uid="{00000000-0005-0000-0000-0000CC0C0000}"/>
    <cellStyle name="Millares 4 8 2" xfId="2362" xr:uid="{00000000-0005-0000-0000-0000CD0C0000}"/>
    <cellStyle name="Millares 4 8 2 2" xfId="3944" xr:uid="{00000000-0005-0000-0000-0000CE0C0000}"/>
    <cellStyle name="Millares 4 8 3" xfId="1571" xr:uid="{00000000-0005-0000-0000-0000CF0C0000}"/>
    <cellStyle name="Millares 4 8 4" xfId="3153" xr:uid="{00000000-0005-0000-0000-0000D00C0000}"/>
    <cellStyle name="Millares 4 9" xfId="1968" xr:uid="{00000000-0005-0000-0000-0000D10C0000}"/>
    <cellStyle name="Millares 4 9 2" xfId="3550" xr:uid="{00000000-0005-0000-0000-0000D20C0000}"/>
    <cellStyle name="Millares 40" xfId="444" xr:uid="{00000000-0005-0000-0000-0000D30C0000}"/>
    <cellStyle name="Millares 40 2" xfId="520" xr:uid="{00000000-0005-0000-0000-0000D40C0000}"/>
    <cellStyle name="Millares 40 2 2" xfId="748" xr:uid="{00000000-0005-0000-0000-0000D50C0000}"/>
    <cellStyle name="Millares 40 2 2 2" xfId="1148" xr:uid="{00000000-0005-0000-0000-0000D60C0000}"/>
    <cellStyle name="Millares 40 2 2 2 2" xfId="2731" xr:uid="{00000000-0005-0000-0000-0000D70C0000}"/>
    <cellStyle name="Millares 40 2 2 2 2 2" xfId="4313" xr:uid="{00000000-0005-0000-0000-0000D80C0000}"/>
    <cellStyle name="Millares 40 2 2 2 3" xfId="1940" xr:uid="{00000000-0005-0000-0000-0000D90C0000}"/>
    <cellStyle name="Millares 40 2 2 2 4" xfId="3522" xr:uid="{00000000-0005-0000-0000-0000DA0C0000}"/>
    <cellStyle name="Millares 40 2 2 3" xfId="2337" xr:uid="{00000000-0005-0000-0000-0000DB0C0000}"/>
    <cellStyle name="Millares 40 2 2 3 2" xfId="3919" xr:uid="{00000000-0005-0000-0000-0000DC0C0000}"/>
    <cellStyle name="Millares 40 2 2 4" xfId="1546" xr:uid="{00000000-0005-0000-0000-0000DD0C0000}"/>
    <cellStyle name="Millares 40 2 2 5" xfId="3128" xr:uid="{00000000-0005-0000-0000-0000DE0C0000}"/>
    <cellStyle name="Millares 40 2 3" xfId="927" xr:uid="{00000000-0005-0000-0000-0000DF0C0000}"/>
    <cellStyle name="Millares 40 2 3 2" xfId="2510" xr:uid="{00000000-0005-0000-0000-0000E00C0000}"/>
    <cellStyle name="Millares 40 2 3 2 2" xfId="4092" xr:uid="{00000000-0005-0000-0000-0000E10C0000}"/>
    <cellStyle name="Millares 40 2 3 3" xfId="1719" xr:uid="{00000000-0005-0000-0000-0000E20C0000}"/>
    <cellStyle name="Millares 40 2 3 4" xfId="3301" xr:uid="{00000000-0005-0000-0000-0000E30C0000}"/>
    <cellStyle name="Millares 40 2 4" xfId="2116" xr:uid="{00000000-0005-0000-0000-0000E40C0000}"/>
    <cellStyle name="Millares 40 2 4 2" xfId="3698" xr:uid="{00000000-0005-0000-0000-0000E50C0000}"/>
    <cellStyle name="Millares 40 2 5" xfId="1325" xr:uid="{00000000-0005-0000-0000-0000E60C0000}"/>
    <cellStyle name="Millares 40 2 6" xfId="2907" xr:uid="{00000000-0005-0000-0000-0000E70C0000}"/>
    <cellStyle name="Millares 40 3" xfId="672" xr:uid="{00000000-0005-0000-0000-0000E80C0000}"/>
    <cellStyle name="Millares 40 3 2" xfId="1072" xr:uid="{00000000-0005-0000-0000-0000E90C0000}"/>
    <cellStyle name="Millares 40 3 2 2" xfId="2655" xr:uid="{00000000-0005-0000-0000-0000EA0C0000}"/>
    <cellStyle name="Millares 40 3 2 2 2" xfId="4237" xr:uid="{00000000-0005-0000-0000-0000EB0C0000}"/>
    <cellStyle name="Millares 40 3 2 3" xfId="1864" xr:uid="{00000000-0005-0000-0000-0000EC0C0000}"/>
    <cellStyle name="Millares 40 3 2 4" xfId="3446" xr:uid="{00000000-0005-0000-0000-0000ED0C0000}"/>
    <cellStyle name="Millares 40 3 3" xfId="2261" xr:uid="{00000000-0005-0000-0000-0000EE0C0000}"/>
    <cellStyle name="Millares 40 3 3 2" xfId="3843" xr:uid="{00000000-0005-0000-0000-0000EF0C0000}"/>
    <cellStyle name="Millares 40 3 4" xfId="1470" xr:uid="{00000000-0005-0000-0000-0000F00C0000}"/>
    <cellStyle name="Millares 40 3 5" xfId="3052" xr:uid="{00000000-0005-0000-0000-0000F10C0000}"/>
    <cellStyle name="Millares 40 4" xfId="851" xr:uid="{00000000-0005-0000-0000-0000F20C0000}"/>
    <cellStyle name="Millares 40 4 2" xfId="2434" xr:uid="{00000000-0005-0000-0000-0000F30C0000}"/>
    <cellStyle name="Millares 40 4 2 2" xfId="4016" xr:uid="{00000000-0005-0000-0000-0000F40C0000}"/>
    <cellStyle name="Millares 40 4 3" xfId="1643" xr:uid="{00000000-0005-0000-0000-0000F50C0000}"/>
    <cellStyle name="Millares 40 4 4" xfId="3225" xr:uid="{00000000-0005-0000-0000-0000F60C0000}"/>
    <cellStyle name="Millares 40 5" xfId="2040" xr:uid="{00000000-0005-0000-0000-0000F70C0000}"/>
    <cellStyle name="Millares 40 5 2" xfId="3622" xr:uid="{00000000-0005-0000-0000-0000F80C0000}"/>
    <cellStyle name="Millares 40 6" xfId="1249" xr:uid="{00000000-0005-0000-0000-0000F90C0000}"/>
    <cellStyle name="Millares 40 7" xfId="2831" xr:uid="{00000000-0005-0000-0000-0000FA0C0000}"/>
    <cellStyle name="Millares 41" xfId="438" xr:uid="{00000000-0005-0000-0000-0000FB0C0000}"/>
    <cellStyle name="Millares 41 2" xfId="514" xr:uid="{00000000-0005-0000-0000-0000FC0C0000}"/>
    <cellStyle name="Millares 41 2 2" xfId="742" xr:uid="{00000000-0005-0000-0000-0000FD0C0000}"/>
    <cellStyle name="Millares 41 2 2 2" xfId="1142" xr:uid="{00000000-0005-0000-0000-0000FE0C0000}"/>
    <cellStyle name="Millares 41 2 2 2 2" xfId="2725" xr:uid="{00000000-0005-0000-0000-0000FF0C0000}"/>
    <cellStyle name="Millares 41 2 2 2 2 2" xfId="4307" xr:uid="{00000000-0005-0000-0000-0000000D0000}"/>
    <cellStyle name="Millares 41 2 2 2 3" xfId="1934" xr:uid="{00000000-0005-0000-0000-0000010D0000}"/>
    <cellStyle name="Millares 41 2 2 2 4" xfId="3516" xr:uid="{00000000-0005-0000-0000-0000020D0000}"/>
    <cellStyle name="Millares 41 2 2 3" xfId="2331" xr:uid="{00000000-0005-0000-0000-0000030D0000}"/>
    <cellStyle name="Millares 41 2 2 3 2" xfId="3913" xr:uid="{00000000-0005-0000-0000-0000040D0000}"/>
    <cellStyle name="Millares 41 2 2 4" xfId="1540" xr:uid="{00000000-0005-0000-0000-0000050D0000}"/>
    <cellStyle name="Millares 41 2 2 5" xfId="3122" xr:uid="{00000000-0005-0000-0000-0000060D0000}"/>
    <cellStyle name="Millares 41 2 3" xfId="921" xr:uid="{00000000-0005-0000-0000-0000070D0000}"/>
    <cellStyle name="Millares 41 2 3 2" xfId="2504" xr:uid="{00000000-0005-0000-0000-0000080D0000}"/>
    <cellStyle name="Millares 41 2 3 2 2" xfId="4086" xr:uid="{00000000-0005-0000-0000-0000090D0000}"/>
    <cellStyle name="Millares 41 2 3 3" xfId="1713" xr:uid="{00000000-0005-0000-0000-00000A0D0000}"/>
    <cellStyle name="Millares 41 2 3 4" xfId="3295" xr:uid="{00000000-0005-0000-0000-00000B0D0000}"/>
    <cellStyle name="Millares 41 2 4" xfId="2110" xr:uid="{00000000-0005-0000-0000-00000C0D0000}"/>
    <cellStyle name="Millares 41 2 4 2" xfId="3692" xr:uid="{00000000-0005-0000-0000-00000D0D0000}"/>
    <cellStyle name="Millares 41 2 5" xfId="1319" xr:uid="{00000000-0005-0000-0000-00000E0D0000}"/>
    <cellStyle name="Millares 41 2 6" xfId="2901" xr:uid="{00000000-0005-0000-0000-00000F0D0000}"/>
    <cellStyle name="Millares 41 3" xfId="666" xr:uid="{00000000-0005-0000-0000-0000100D0000}"/>
    <cellStyle name="Millares 41 3 2" xfId="1066" xr:uid="{00000000-0005-0000-0000-0000110D0000}"/>
    <cellStyle name="Millares 41 3 2 2" xfId="2649" xr:uid="{00000000-0005-0000-0000-0000120D0000}"/>
    <cellStyle name="Millares 41 3 2 2 2" xfId="4231" xr:uid="{00000000-0005-0000-0000-0000130D0000}"/>
    <cellStyle name="Millares 41 3 2 3" xfId="1858" xr:uid="{00000000-0005-0000-0000-0000140D0000}"/>
    <cellStyle name="Millares 41 3 2 4" xfId="3440" xr:uid="{00000000-0005-0000-0000-0000150D0000}"/>
    <cellStyle name="Millares 41 3 3" xfId="2255" xr:uid="{00000000-0005-0000-0000-0000160D0000}"/>
    <cellStyle name="Millares 41 3 3 2" xfId="3837" xr:uid="{00000000-0005-0000-0000-0000170D0000}"/>
    <cellStyle name="Millares 41 3 4" xfId="1464" xr:uid="{00000000-0005-0000-0000-0000180D0000}"/>
    <cellStyle name="Millares 41 3 5" xfId="3046" xr:uid="{00000000-0005-0000-0000-0000190D0000}"/>
    <cellStyle name="Millares 41 4" xfId="845" xr:uid="{00000000-0005-0000-0000-00001A0D0000}"/>
    <cellStyle name="Millares 41 4 2" xfId="2428" xr:uid="{00000000-0005-0000-0000-00001B0D0000}"/>
    <cellStyle name="Millares 41 4 2 2" xfId="4010" xr:uid="{00000000-0005-0000-0000-00001C0D0000}"/>
    <cellStyle name="Millares 41 4 3" xfId="1637" xr:uid="{00000000-0005-0000-0000-00001D0D0000}"/>
    <cellStyle name="Millares 41 4 4" xfId="3219" xr:uid="{00000000-0005-0000-0000-00001E0D0000}"/>
    <cellStyle name="Millares 41 5" xfId="2034" xr:uid="{00000000-0005-0000-0000-00001F0D0000}"/>
    <cellStyle name="Millares 41 5 2" xfId="3616" xr:uid="{00000000-0005-0000-0000-0000200D0000}"/>
    <cellStyle name="Millares 41 6" xfId="1243" xr:uid="{00000000-0005-0000-0000-0000210D0000}"/>
    <cellStyle name="Millares 41 7" xfId="2825" xr:uid="{00000000-0005-0000-0000-0000220D0000}"/>
    <cellStyle name="Millares 42" xfId="443" xr:uid="{00000000-0005-0000-0000-0000230D0000}"/>
    <cellStyle name="Millares 42 2" xfId="519" xr:uid="{00000000-0005-0000-0000-0000240D0000}"/>
    <cellStyle name="Millares 42 2 2" xfId="747" xr:uid="{00000000-0005-0000-0000-0000250D0000}"/>
    <cellStyle name="Millares 42 2 2 2" xfId="1147" xr:uid="{00000000-0005-0000-0000-0000260D0000}"/>
    <cellStyle name="Millares 42 2 2 2 2" xfId="2730" xr:uid="{00000000-0005-0000-0000-0000270D0000}"/>
    <cellStyle name="Millares 42 2 2 2 2 2" xfId="4312" xr:uid="{00000000-0005-0000-0000-0000280D0000}"/>
    <cellStyle name="Millares 42 2 2 2 3" xfId="1939" xr:uid="{00000000-0005-0000-0000-0000290D0000}"/>
    <cellStyle name="Millares 42 2 2 2 4" xfId="3521" xr:uid="{00000000-0005-0000-0000-00002A0D0000}"/>
    <cellStyle name="Millares 42 2 2 3" xfId="2336" xr:uid="{00000000-0005-0000-0000-00002B0D0000}"/>
    <cellStyle name="Millares 42 2 2 3 2" xfId="3918" xr:uid="{00000000-0005-0000-0000-00002C0D0000}"/>
    <cellStyle name="Millares 42 2 2 4" xfId="1545" xr:uid="{00000000-0005-0000-0000-00002D0D0000}"/>
    <cellStyle name="Millares 42 2 2 5" xfId="3127" xr:uid="{00000000-0005-0000-0000-00002E0D0000}"/>
    <cellStyle name="Millares 42 2 3" xfId="926" xr:uid="{00000000-0005-0000-0000-00002F0D0000}"/>
    <cellStyle name="Millares 42 2 3 2" xfId="2509" xr:uid="{00000000-0005-0000-0000-0000300D0000}"/>
    <cellStyle name="Millares 42 2 3 2 2" xfId="4091" xr:uid="{00000000-0005-0000-0000-0000310D0000}"/>
    <cellStyle name="Millares 42 2 3 3" xfId="1718" xr:uid="{00000000-0005-0000-0000-0000320D0000}"/>
    <cellStyle name="Millares 42 2 3 4" xfId="3300" xr:uid="{00000000-0005-0000-0000-0000330D0000}"/>
    <cellStyle name="Millares 42 2 4" xfId="2115" xr:uid="{00000000-0005-0000-0000-0000340D0000}"/>
    <cellStyle name="Millares 42 2 4 2" xfId="3697" xr:uid="{00000000-0005-0000-0000-0000350D0000}"/>
    <cellStyle name="Millares 42 2 5" xfId="1324" xr:uid="{00000000-0005-0000-0000-0000360D0000}"/>
    <cellStyle name="Millares 42 2 6" xfId="2906" xr:uid="{00000000-0005-0000-0000-0000370D0000}"/>
    <cellStyle name="Millares 42 3" xfId="671" xr:uid="{00000000-0005-0000-0000-0000380D0000}"/>
    <cellStyle name="Millares 42 3 2" xfId="1071" xr:uid="{00000000-0005-0000-0000-0000390D0000}"/>
    <cellStyle name="Millares 42 3 2 2" xfId="2654" xr:uid="{00000000-0005-0000-0000-00003A0D0000}"/>
    <cellStyle name="Millares 42 3 2 2 2" xfId="4236" xr:uid="{00000000-0005-0000-0000-00003B0D0000}"/>
    <cellStyle name="Millares 42 3 2 3" xfId="1863" xr:uid="{00000000-0005-0000-0000-00003C0D0000}"/>
    <cellStyle name="Millares 42 3 2 4" xfId="3445" xr:uid="{00000000-0005-0000-0000-00003D0D0000}"/>
    <cellStyle name="Millares 42 3 3" xfId="2260" xr:uid="{00000000-0005-0000-0000-00003E0D0000}"/>
    <cellStyle name="Millares 42 3 3 2" xfId="3842" xr:uid="{00000000-0005-0000-0000-00003F0D0000}"/>
    <cellStyle name="Millares 42 3 4" xfId="1469" xr:uid="{00000000-0005-0000-0000-0000400D0000}"/>
    <cellStyle name="Millares 42 3 5" xfId="3051" xr:uid="{00000000-0005-0000-0000-0000410D0000}"/>
    <cellStyle name="Millares 42 4" xfId="850" xr:uid="{00000000-0005-0000-0000-0000420D0000}"/>
    <cellStyle name="Millares 42 4 2" xfId="2433" xr:uid="{00000000-0005-0000-0000-0000430D0000}"/>
    <cellStyle name="Millares 42 4 2 2" xfId="4015" xr:uid="{00000000-0005-0000-0000-0000440D0000}"/>
    <cellStyle name="Millares 42 4 3" xfId="1642" xr:uid="{00000000-0005-0000-0000-0000450D0000}"/>
    <cellStyle name="Millares 42 4 4" xfId="3224" xr:uid="{00000000-0005-0000-0000-0000460D0000}"/>
    <cellStyle name="Millares 42 5" xfId="2039" xr:uid="{00000000-0005-0000-0000-0000470D0000}"/>
    <cellStyle name="Millares 42 5 2" xfId="3621" xr:uid="{00000000-0005-0000-0000-0000480D0000}"/>
    <cellStyle name="Millares 42 6" xfId="1248" xr:uid="{00000000-0005-0000-0000-0000490D0000}"/>
    <cellStyle name="Millares 42 7" xfId="2830" xr:uid="{00000000-0005-0000-0000-00004A0D0000}"/>
    <cellStyle name="Millares 43" xfId="439" xr:uid="{00000000-0005-0000-0000-00004B0D0000}"/>
    <cellStyle name="Millares 43 2" xfId="515" xr:uid="{00000000-0005-0000-0000-00004C0D0000}"/>
    <cellStyle name="Millares 43 2 2" xfId="743" xr:uid="{00000000-0005-0000-0000-00004D0D0000}"/>
    <cellStyle name="Millares 43 2 2 2" xfId="1143" xr:uid="{00000000-0005-0000-0000-00004E0D0000}"/>
    <cellStyle name="Millares 43 2 2 2 2" xfId="2726" xr:uid="{00000000-0005-0000-0000-00004F0D0000}"/>
    <cellStyle name="Millares 43 2 2 2 2 2" xfId="4308" xr:uid="{00000000-0005-0000-0000-0000500D0000}"/>
    <cellStyle name="Millares 43 2 2 2 3" xfId="1935" xr:uid="{00000000-0005-0000-0000-0000510D0000}"/>
    <cellStyle name="Millares 43 2 2 2 4" xfId="3517" xr:uid="{00000000-0005-0000-0000-0000520D0000}"/>
    <cellStyle name="Millares 43 2 2 3" xfId="2332" xr:uid="{00000000-0005-0000-0000-0000530D0000}"/>
    <cellStyle name="Millares 43 2 2 3 2" xfId="3914" xr:uid="{00000000-0005-0000-0000-0000540D0000}"/>
    <cellStyle name="Millares 43 2 2 4" xfId="1541" xr:uid="{00000000-0005-0000-0000-0000550D0000}"/>
    <cellStyle name="Millares 43 2 2 5" xfId="3123" xr:uid="{00000000-0005-0000-0000-0000560D0000}"/>
    <cellStyle name="Millares 43 2 3" xfId="922" xr:uid="{00000000-0005-0000-0000-0000570D0000}"/>
    <cellStyle name="Millares 43 2 3 2" xfId="2505" xr:uid="{00000000-0005-0000-0000-0000580D0000}"/>
    <cellStyle name="Millares 43 2 3 2 2" xfId="4087" xr:uid="{00000000-0005-0000-0000-0000590D0000}"/>
    <cellStyle name="Millares 43 2 3 3" xfId="1714" xr:uid="{00000000-0005-0000-0000-00005A0D0000}"/>
    <cellStyle name="Millares 43 2 3 4" xfId="3296" xr:uid="{00000000-0005-0000-0000-00005B0D0000}"/>
    <cellStyle name="Millares 43 2 4" xfId="2111" xr:uid="{00000000-0005-0000-0000-00005C0D0000}"/>
    <cellStyle name="Millares 43 2 4 2" xfId="3693" xr:uid="{00000000-0005-0000-0000-00005D0D0000}"/>
    <cellStyle name="Millares 43 2 5" xfId="1320" xr:uid="{00000000-0005-0000-0000-00005E0D0000}"/>
    <cellStyle name="Millares 43 2 6" xfId="2902" xr:uid="{00000000-0005-0000-0000-00005F0D0000}"/>
    <cellStyle name="Millares 43 3" xfId="667" xr:uid="{00000000-0005-0000-0000-0000600D0000}"/>
    <cellStyle name="Millares 43 3 2" xfId="1067" xr:uid="{00000000-0005-0000-0000-0000610D0000}"/>
    <cellStyle name="Millares 43 3 2 2" xfId="2650" xr:uid="{00000000-0005-0000-0000-0000620D0000}"/>
    <cellStyle name="Millares 43 3 2 2 2" xfId="4232" xr:uid="{00000000-0005-0000-0000-0000630D0000}"/>
    <cellStyle name="Millares 43 3 2 3" xfId="1859" xr:uid="{00000000-0005-0000-0000-0000640D0000}"/>
    <cellStyle name="Millares 43 3 2 4" xfId="3441" xr:uid="{00000000-0005-0000-0000-0000650D0000}"/>
    <cellStyle name="Millares 43 3 3" xfId="2256" xr:uid="{00000000-0005-0000-0000-0000660D0000}"/>
    <cellStyle name="Millares 43 3 3 2" xfId="3838" xr:uid="{00000000-0005-0000-0000-0000670D0000}"/>
    <cellStyle name="Millares 43 3 4" xfId="1465" xr:uid="{00000000-0005-0000-0000-0000680D0000}"/>
    <cellStyle name="Millares 43 3 5" xfId="3047" xr:uid="{00000000-0005-0000-0000-0000690D0000}"/>
    <cellStyle name="Millares 43 4" xfId="846" xr:uid="{00000000-0005-0000-0000-00006A0D0000}"/>
    <cellStyle name="Millares 43 4 2" xfId="2429" xr:uid="{00000000-0005-0000-0000-00006B0D0000}"/>
    <cellStyle name="Millares 43 4 2 2" xfId="4011" xr:uid="{00000000-0005-0000-0000-00006C0D0000}"/>
    <cellStyle name="Millares 43 4 3" xfId="1638" xr:uid="{00000000-0005-0000-0000-00006D0D0000}"/>
    <cellStyle name="Millares 43 4 4" xfId="3220" xr:uid="{00000000-0005-0000-0000-00006E0D0000}"/>
    <cellStyle name="Millares 43 5" xfId="2035" xr:uid="{00000000-0005-0000-0000-00006F0D0000}"/>
    <cellStyle name="Millares 43 5 2" xfId="3617" xr:uid="{00000000-0005-0000-0000-0000700D0000}"/>
    <cellStyle name="Millares 43 6" xfId="1244" xr:uid="{00000000-0005-0000-0000-0000710D0000}"/>
    <cellStyle name="Millares 43 7" xfId="2826" xr:uid="{00000000-0005-0000-0000-0000720D0000}"/>
    <cellStyle name="Millares 44" xfId="441" xr:uid="{00000000-0005-0000-0000-0000730D0000}"/>
    <cellStyle name="Millares 44 2" xfId="517" xr:uid="{00000000-0005-0000-0000-0000740D0000}"/>
    <cellStyle name="Millares 44 2 2" xfId="745" xr:uid="{00000000-0005-0000-0000-0000750D0000}"/>
    <cellStyle name="Millares 44 2 2 2" xfId="1145" xr:uid="{00000000-0005-0000-0000-0000760D0000}"/>
    <cellStyle name="Millares 44 2 2 2 2" xfId="2728" xr:uid="{00000000-0005-0000-0000-0000770D0000}"/>
    <cellStyle name="Millares 44 2 2 2 2 2" xfId="4310" xr:uid="{00000000-0005-0000-0000-0000780D0000}"/>
    <cellStyle name="Millares 44 2 2 2 3" xfId="1937" xr:uid="{00000000-0005-0000-0000-0000790D0000}"/>
    <cellStyle name="Millares 44 2 2 2 4" xfId="3519" xr:uid="{00000000-0005-0000-0000-00007A0D0000}"/>
    <cellStyle name="Millares 44 2 2 3" xfId="2334" xr:uid="{00000000-0005-0000-0000-00007B0D0000}"/>
    <cellStyle name="Millares 44 2 2 3 2" xfId="3916" xr:uid="{00000000-0005-0000-0000-00007C0D0000}"/>
    <cellStyle name="Millares 44 2 2 4" xfId="1543" xr:uid="{00000000-0005-0000-0000-00007D0D0000}"/>
    <cellStyle name="Millares 44 2 2 5" xfId="3125" xr:uid="{00000000-0005-0000-0000-00007E0D0000}"/>
    <cellStyle name="Millares 44 2 3" xfId="924" xr:uid="{00000000-0005-0000-0000-00007F0D0000}"/>
    <cellStyle name="Millares 44 2 3 2" xfId="2507" xr:uid="{00000000-0005-0000-0000-0000800D0000}"/>
    <cellStyle name="Millares 44 2 3 2 2" xfId="4089" xr:uid="{00000000-0005-0000-0000-0000810D0000}"/>
    <cellStyle name="Millares 44 2 3 3" xfId="1716" xr:uid="{00000000-0005-0000-0000-0000820D0000}"/>
    <cellStyle name="Millares 44 2 3 4" xfId="3298" xr:uid="{00000000-0005-0000-0000-0000830D0000}"/>
    <cellStyle name="Millares 44 2 4" xfId="2113" xr:uid="{00000000-0005-0000-0000-0000840D0000}"/>
    <cellStyle name="Millares 44 2 4 2" xfId="3695" xr:uid="{00000000-0005-0000-0000-0000850D0000}"/>
    <cellStyle name="Millares 44 2 5" xfId="1322" xr:uid="{00000000-0005-0000-0000-0000860D0000}"/>
    <cellStyle name="Millares 44 2 6" xfId="2904" xr:uid="{00000000-0005-0000-0000-0000870D0000}"/>
    <cellStyle name="Millares 44 3" xfId="669" xr:uid="{00000000-0005-0000-0000-0000880D0000}"/>
    <cellStyle name="Millares 44 3 2" xfId="1069" xr:uid="{00000000-0005-0000-0000-0000890D0000}"/>
    <cellStyle name="Millares 44 3 2 2" xfId="2652" xr:uid="{00000000-0005-0000-0000-00008A0D0000}"/>
    <cellStyle name="Millares 44 3 2 2 2" xfId="4234" xr:uid="{00000000-0005-0000-0000-00008B0D0000}"/>
    <cellStyle name="Millares 44 3 2 3" xfId="1861" xr:uid="{00000000-0005-0000-0000-00008C0D0000}"/>
    <cellStyle name="Millares 44 3 2 4" xfId="3443" xr:uid="{00000000-0005-0000-0000-00008D0D0000}"/>
    <cellStyle name="Millares 44 3 3" xfId="2258" xr:uid="{00000000-0005-0000-0000-00008E0D0000}"/>
    <cellStyle name="Millares 44 3 3 2" xfId="3840" xr:uid="{00000000-0005-0000-0000-00008F0D0000}"/>
    <cellStyle name="Millares 44 3 4" xfId="1467" xr:uid="{00000000-0005-0000-0000-0000900D0000}"/>
    <cellStyle name="Millares 44 3 5" xfId="3049" xr:uid="{00000000-0005-0000-0000-0000910D0000}"/>
    <cellStyle name="Millares 44 4" xfId="848" xr:uid="{00000000-0005-0000-0000-0000920D0000}"/>
    <cellStyle name="Millares 44 4 2" xfId="2431" xr:uid="{00000000-0005-0000-0000-0000930D0000}"/>
    <cellStyle name="Millares 44 4 2 2" xfId="4013" xr:uid="{00000000-0005-0000-0000-0000940D0000}"/>
    <cellStyle name="Millares 44 4 3" xfId="1640" xr:uid="{00000000-0005-0000-0000-0000950D0000}"/>
    <cellStyle name="Millares 44 4 4" xfId="3222" xr:uid="{00000000-0005-0000-0000-0000960D0000}"/>
    <cellStyle name="Millares 44 5" xfId="2037" xr:uid="{00000000-0005-0000-0000-0000970D0000}"/>
    <cellStyle name="Millares 44 5 2" xfId="3619" xr:uid="{00000000-0005-0000-0000-0000980D0000}"/>
    <cellStyle name="Millares 44 6" xfId="1246" xr:uid="{00000000-0005-0000-0000-0000990D0000}"/>
    <cellStyle name="Millares 44 7" xfId="2828" xr:uid="{00000000-0005-0000-0000-00009A0D0000}"/>
    <cellStyle name="Millares 45" xfId="442" xr:uid="{00000000-0005-0000-0000-00009B0D0000}"/>
    <cellStyle name="Millares 45 2" xfId="518" xr:uid="{00000000-0005-0000-0000-00009C0D0000}"/>
    <cellStyle name="Millares 45 2 2" xfId="746" xr:uid="{00000000-0005-0000-0000-00009D0D0000}"/>
    <cellStyle name="Millares 45 2 2 2" xfId="1146" xr:uid="{00000000-0005-0000-0000-00009E0D0000}"/>
    <cellStyle name="Millares 45 2 2 2 2" xfId="2729" xr:uid="{00000000-0005-0000-0000-00009F0D0000}"/>
    <cellStyle name="Millares 45 2 2 2 2 2" xfId="4311" xr:uid="{00000000-0005-0000-0000-0000A00D0000}"/>
    <cellStyle name="Millares 45 2 2 2 3" xfId="1938" xr:uid="{00000000-0005-0000-0000-0000A10D0000}"/>
    <cellStyle name="Millares 45 2 2 2 4" xfId="3520" xr:uid="{00000000-0005-0000-0000-0000A20D0000}"/>
    <cellStyle name="Millares 45 2 2 3" xfId="2335" xr:uid="{00000000-0005-0000-0000-0000A30D0000}"/>
    <cellStyle name="Millares 45 2 2 3 2" xfId="3917" xr:uid="{00000000-0005-0000-0000-0000A40D0000}"/>
    <cellStyle name="Millares 45 2 2 4" xfId="1544" xr:uid="{00000000-0005-0000-0000-0000A50D0000}"/>
    <cellStyle name="Millares 45 2 2 5" xfId="3126" xr:uid="{00000000-0005-0000-0000-0000A60D0000}"/>
    <cellStyle name="Millares 45 2 3" xfId="925" xr:uid="{00000000-0005-0000-0000-0000A70D0000}"/>
    <cellStyle name="Millares 45 2 3 2" xfId="2508" xr:uid="{00000000-0005-0000-0000-0000A80D0000}"/>
    <cellStyle name="Millares 45 2 3 2 2" xfId="4090" xr:uid="{00000000-0005-0000-0000-0000A90D0000}"/>
    <cellStyle name="Millares 45 2 3 3" xfId="1717" xr:uid="{00000000-0005-0000-0000-0000AA0D0000}"/>
    <cellStyle name="Millares 45 2 3 4" xfId="3299" xr:uid="{00000000-0005-0000-0000-0000AB0D0000}"/>
    <cellStyle name="Millares 45 2 4" xfId="2114" xr:uid="{00000000-0005-0000-0000-0000AC0D0000}"/>
    <cellStyle name="Millares 45 2 4 2" xfId="3696" xr:uid="{00000000-0005-0000-0000-0000AD0D0000}"/>
    <cellStyle name="Millares 45 2 5" xfId="1323" xr:uid="{00000000-0005-0000-0000-0000AE0D0000}"/>
    <cellStyle name="Millares 45 2 6" xfId="2905" xr:uid="{00000000-0005-0000-0000-0000AF0D0000}"/>
    <cellStyle name="Millares 45 3" xfId="670" xr:uid="{00000000-0005-0000-0000-0000B00D0000}"/>
    <cellStyle name="Millares 45 3 2" xfId="1070" xr:uid="{00000000-0005-0000-0000-0000B10D0000}"/>
    <cellStyle name="Millares 45 3 2 2" xfId="2653" xr:uid="{00000000-0005-0000-0000-0000B20D0000}"/>
    <cellStyle name="Millares 45 3 2 2 2" xfId="4235" xr:uid="{00000000-0005-0000-0000-0000B30D0000}"/>
    <cellStyle name="Millares 45 3 2 3" xfId="1862" xr:uid="{00000000-0005-0000-0000-0000B40D0000}"/>
    <cellStyle name="Millares 45 3 2 4" xfId="3444" xr:uid="{00000000-0005-0000-0000-0000B50D0000}"/>
    <cellStyle name="Millares 45 3 3" xfId="2259" xr:uid="{00000000-0005-0000-0000-0000B60D0000}"/>
    <cellStyle name="Millares 45 3 3 2" xfId="3841" xr:uid="{00000000-0005-0000-0000-0000B70D0000}"/>
    <cellStyle name="Millares 45 3 4" xfId="1468" xr:uid="{00000000-0005-0000-0000-0000B80D0000}"/>
    <cellStyle name="Millares 45 3 5" xfId="3050" xr:uid="{00000000-0005-0000-0000-0000B90D0000}"/>
    <cellStyle name="Millares 45 4" xfId="849" xr:uid="{00000000-0005-0000-0000-0000BA0D0000}"/>
    <cellStyle name="Millares 45 4 2" xfId="2432" xr:uid="{00000000-0005-0000-0000-0000BB0D0000}"/>
    <cellStyle name="Millares 45 4 2 2" xfId="4014" xr:uid="{00000000-0005-0000-0000-0000BC0D0000}"/>
    <cellStyle name="Millares 45 4 3" xfId="1641" xr:uid="{00000000-0005-0000-0000-0000BD0D0000}"/>
    <cellStyle name="Millares 45 4 4" xfId="3223" xr:uid="{00000000-0005-0000-0000-0000BE0D0000}"/>
    <cellStyle name="Millares 45 5" xfId="2038" xr:uid="{00000000-0005-0000-0000-0000BF0D0000}"/>
    <cellStyle name="Millares 45 5 2" xfId="3620" xr:uid="{00000000-0005-0000-0000-0000C00D0000}"/>
    <cellStyle name="Millares 45 6" xfId="1247" xr:uid="{00000000-0005-0000-0000-0000C10D0000}"/>
    <cellStyle name="Millares 45 7" xfId="2829" xr:uid="{00000000-0005-0000-0000-0000C20D0000}"/>
    <cellStyle name="Millares 46" xfId="445" xr:uid="{00000000-0005-0000-0000-0000C30D0000}"/>
    <cellStyle name="Millares 46 2" xfId="673" xr:uid="{00000000-0005-0000-0000-0000C40D0000}"/>
    <cellStyle name="Millares 46 2 2" xfId="1073" xr:uid="{00000000-0005-0000-0000-0000C50D0000}"/>
    <cellStyle name="Millares 46 2 2 2" xfId="2656" xr:uid="{00000000-0005-0000-0000-0000C60D0000}"/>
    <cellStyle name="Millares 46 2 2 2 2" xfId="4238" xr:uid="{00000000-0005-0000-0000-0000C70D0000}"/>
    <cellStyle name="Millares 46 2 2 3" xfId="1865" xr:uid="{00000000-0005-0000-0000-0000C80D0000}"/>
    <cellStyle name="Millares 46 2 2 4" xfId="3447" xr:uid="{00000000-0005-0000-0000-0000C90D0000}"/>
    <cellStyle name="Millares 46 2 3" xfId="2262" xr:uid="{00000000-0005-0000-0000-0000CA0D0000}"/>
    <cellStyle name="Millares 46 2 3 2" xfId="3844" xr:uid="{00000000-0005-0000-0000-0000CB0D0000}"/>
    <cellStyle name="Millares 46 2 4" xfId="1471" xr:uid="{00000000-0005-0000-0000-0000CC0D0000}"/>
    <cellStyle name="Millares 46 2 5" xfId="3053" xr:uid="{00000000-0005-0000-0000-0000CD0D0000}"/>
    <cellStyle name="Millares 46 3" xfId="852" xr:uid="{00000000-0005-0000-0000-0000CE0D0000}"/>
    <cellStyle name="Millares 46 3 2" xfId="2435" xr:uid="{00000000-0005-0000-0000-0000CF0D0000}"/>
    <cellStyle name="Millares 46 3 2 2" xfId="4017" xr:uid="{00000000-0005-0000-0000-0000D00D0000}"/>
    <cellStyle name="Millares 46 3 3" xfId="1644" xr:uid="{00000000-0005-0000-0000-0000D10D0000}"/>
    <cellStyle name="Millares 46 3 4" xfId="3226" xr:uid="{00000000-0005-0000-0000-0000D20D0000}"/>
    <cellStyle name="Millares 46 4" xfId="2041" xr:uid="{00000000-0005-0000-0000-0000D30D0000}"/>
    <cellStyle name="Millares 46 4 2" xfId="3623" xr:uid="{00000000-0005-0000-0000-0000D40D0000}"/>
    <cellStyle name="Millares 46 5" xfId="1250" xr:uid="{00000000-0005-0000-0000-0000D50D0000}"/>
    <cellStyle name="Millares 46 6" xfId="2832" xr:uid="{00000000-0005-0000-0000-0000D60D0000}"/>
    <cellStyle name="Millares 47" xfId="521" xr:uid="{00000000-0005-0000-0000-0000D70D0000}"/>
    <cellStyle name="Millares 47 2" xfId="928" xr:uid="{00000000-0005-0000-0000-0000D80D0000}"/>
    <cellStyle name="Millares 47 2 2" xfId="2511" xr:uid="{00000000-0005-0000-0000-0000D90D0000}"/>
    <cellStyle name="Millares 47 2 2 2" xfId="4093" xr:uid="{00000000-0005-0000-0000-0000DA0D0000}"/>
    <cellStyle name="Millares 47 2 3" xfId="1720" xr:uid="{00000000-0005-0000-0000-0000DB0D0000}"/>
    <cellStyle name="Millares 47 2 4" xfId="3302" xr:uid="{00000000-0005-0000-0000-0000DC0D0000}"/>
    <cellStyle name="Millares 47 3" xfId="2117" xr:uid="{00000000-0005-0000-0000-0000DD0D0000}"/>
    <cellStyle name="Millares 47 3 2" xfId="3699" xr:uid="{00000000-0005-0000-0000-0000DE0D0000}"/>
    <cellStyle name="Millares 47 4" xfId="1326" xr:uid="{00000000-0005-0000-0000-0000DF0D0000}"/>
    <cellStyle name="Millares 47 5" xfId="2908" xr:uid="{00000000-0005-0000-0000-0000E00D0000}"/>
    <cellStyle name="Millares 48" xfId="523" xr:uid="{00000000-0005-0000-0000-0000E10D0000}"/>
    <cellStyle name="Millares 48 2" xfId="930" xr:uid="{00000000-0005-0000-0000-0000E20D0000}"/>
    <cellStyle name="Millares 48 2 2" xfId="2513" xr:uid="{00000000-0005-0000-0000-0000E30D0000}"/>
    <cellStyle name="Millares 48 2 2 2" xfId="4095" xr:uid="{00000000-0005-0000-0000-0000E40D0000}"/>
    <cellStyle name="Millares 48 2 3" xfId="1722" xr:uid="{00000000-0005-0000-0000-0000E50D0000}"/>
    <cellStyle name="Millares 48 2 4" xfId="3304" xr:uid="{00000000-0005-0000-0000-0000E60D0000}"/>
    <cellStyle name="Millares 48 3" xfId="2119" xr:uid="{00000000-0005-0000-0000-0000E70D0000}"/>
    <cellStyle name="Millares 48 3 2" xfId="3701" xr:uid="{00000000-0005-0000-0000-0000E80D0000}"/>
    <cellStyle name="Millares 48 4" xfId="1328" xr:uid="{00000000-0005-0000-0000-0000E90D0000}"/>
    <cellStyle name="Millares 48 5" xfId="2910" xr:uid="{00000000-0005-0000-0000-0000EA0D0000}"/>
    <cellStyle name="Millares 49" xfId="597" xr:uid="{00000000-0005-0000-0000-0000EB0D0000}"/>
    <cellStyle name="Millares 49 2" xfId="997" xr:uid="{00000000-0005-0000-0000-0000EC0D0000}"/>
    <cellStyle name="Millares 49 2 2" xfId="2580" xr:uid="{00000000-0005-0000-0000-0000ED0D0000}"/>
    <cellStyle name="Millares 49 2 2 2" xfId="4162" xr:uid="{00000000-0005-0000-0000-0000EE0D0000}"/>
    <cellStyle name="Millares 49 2 3" xfId="1789" xr:uid="{00000000-0005-0000-0000-0000EF0D0000}"/>
    <cellStyle name="Millares 49 2 4" xfId="3371" xr:uid="{00000000-0005-0000-0000-0000F00D0000}"/>
    <cellStyle name="Millares 49 3" xfId="2186" xr:uid="{00000000-0005-0000-0000-0000F10D0000}"/>
    <cellStyle name="Millares 49 3 2" xfId="3768" xr:uid="{00000000-0005-0000-0000-0000F20D0000}"/>
    <cellStyle name="Millares 49 4" xfId="1395" xr:uid="{00000000-0005-0000-0000-0000F30D0000}"/>
    <cellStyle name="Millares 49 5" xfId="2977" xr:uid="{00000000-0005-0000-0000-0000F40D0000}"/>
    <cellStyle name="Millares 5" xfId="299" xr:uid="{00000000-0005-0000-0000-0000F50D0000}"/>
    <cellStyle name="Millares 5 10" xfId="1180" xr:uid="{00000000-0005-0000-0000-0000F60D0000}"/>
    <cellStyle name="Millares 5 11" xfId="2762" xr:uid="{00000000-0005-0000-0000-0000F70D0000}"/>
    <cellStyle name="Millares 5 12" xfId="4596" xr:uid="{38F1DE25-1F93-4A83-88A3-96DFAAA9EA32}"/>
    <cellStyle name="Millares 5 13" xfId="4618" xr:uid="{8F4AF05E-DAD3-46F5-A726-7A2FAF53D1AB}"/>
    <cellStyle name="Millares 5 13 2" xfId="4995" xr:uid="{6E1308CD-291B-467B-A4B6-5134ECB506AA}"/>
    <cellStyle name="Millares 5 14" xfId="4890" xr:uid="{94B37093-C308-449A-8387-81E14BE784B2}"/>
    <cellStyle name="Millares 5 14 2" xfId="5175" xr:uid="{2F77B9BF-6A14-49F2-81E6-200A6D9BA5DE}"/>
    <cellStyle name="Millares 5 15" xfId="4376" xr:uid="{58039B45-CECD-43C2-AAEB-D3EC35EE80C3}"/>
    <cellStyle name="Millares 5 16" xfId="4900" xr:uid="{D0A84937-131D-4B78-9B9B-F44D7EB6F493}"/>
    <cellStyle name="Millares 5 2" xfId="318" xr:uid="{00000000-0005-0000-0000-0000F80D0000}"/>
    <cellStyle name="Millares 5 2 10" xfId="2775" xr:uid="{00000000-0005-0000-0000-0000F90D0000}"/>
    <cellStyle name="Millares 5 2 11" xfId="4597" xr:uid="{D031A20A-FBDB-4F01-A734-8D4546355D8B}"/>
    <cellStyle name="Millares 5 2 12" xfId="4645" xr:uid="{6180F8AE-5189-4584-8F11-0BF675A8E378}"/>
    <cellStyle name="Millares 5 2 12 2" xfId="5018" xr:uid="{FC1E8F20-A5DE-4322-8CE5-F05469353BE8}"/>
    <cellStyle name="Millares 5 2 13" xfId="4891" xr:uid="{15A51271-AF47-4495-BE43-FD92F5D8BE30}"/>
    <cellStyle name="Millares 5 2 13 2" xfId="5176" xr:uid="{1C2D2D2A-23AA-4A20-BE77-5A88F7A77797}"/>
    <cellStyle name="Millares 5 2 14" xfId="4411" xr:uid="{D976D03B-5709-4C5A-A8DF-DAE539B44207}"/>
    <cellStyle name="Millares 5 2 15" xfId="4907" xr:uid="{4DDA7035-42EA-4F18-B057-64B0BB87603A}"/>
    <cellStyle name="Millares 5 2 2" xfId="396" xr:uid="{00000000-0005-0000-0000-0000FA0D0000}"/>
    <cellStyle name="Millares 5 2 2 2" xfId="505" xr:uid="{00000000-0005-0000-0000-0000FB0D0000}"/>
    <cellStyle name="Millares 5 2 2 2 2" xfId="733" xr:uid="{00000000-0005-0000-0000-0000FC0D0000}"/>
    <cellStyle name="Millares 5 2 2 2 2 2" xfId="1133" xr:uid="{00000000-0005-0000-0000-0000FD0D0000}"/>
    <cellStyle name="Millares 5 2 2 2 2 2 2" xfId="2716" xr:uid="{00000000-0005-0000-0000-0000FE0D0000}"/>
    <cellStyle name="Millares 5 2 2 2 2 2 2 2" xfId="4298" xr:uid="{00000000-0005-0000-0000-0000FF0D0000}"/>
    <cellStyle name="Millares 5 2 2 2 2 2 3" xfId="1925" xr:uid="{00000000-0005-0000-0000-0000000E0000}"/>
    <cellStyle name="Millares 5 2 2 2 2 2 4" xfId="3507" xr:uid="{00000000-0005-0000-0000-0000010E0000}"/>
    <cellStyle name="Millares 5 2 2 2 2 3" xfId="2322" xr:uid="{00000000-0005-0000-0000-0000020E0000}"/>
    <cellStyle name="Millares 5 2 2 2 2 3 2" xfId="3904" xr:uid="{00000000-0005-0000-0000-0000030E0000}"/>
    <cellStyle name="Millares 5 2 2 2 2 4" xfId="1531" xr:uid="{00000000-0005-0000-0000-0000040E0000}"/>
    <cellStyle name="Millares 5 2 2 2 2 5" xfId="3113" xr:uid="{00000000-0005-0000-0000-0000050E0000}"/>
    <cellStyle name="Millares 5 2 2 2 3" xfId="912" xr:uid="{00000000-0005-0000-0000-0000060E0000}"/>
    <cellStyle name="Millares 5 2 2 2 3 2" xfId="2495" xr:uid="{00000000-0005-0000-0000-0000070E0000}"/>
    <cellStyle name="Millares 5 2 2 2 3 2 2" xfId="4077" xr:uid="{00000000-0005-0000-0000-0000080E0000}"/>
    <cellStyle name="Millares 5 2 2 2 3 3" xfId="1704" xr:uid="{00000000-0005-0000-0000-0000090E0000}"/>
    <cellStyle name="Millares 5 2 2 2 3 4" xfId="3286" xr:uid="{00000000-0005-0000-0000-00000A0E0000}"/>
    <cellStyle name="Millares 5 2 2 2 4" xfId="2101" xr:uid="{00000000-0005-0000-0000-00000B0E0000}"/>
    <cellStyle name="Millares 5 2 2 2 4 2" xfId="3683" xr:uid="{00000000-0005-0000-0000-00000C0E0000}"/>
    <cellStyle name="Millares 5 2 2 2 5" xfId="1310" xr:uid="{00000000-0005-0000-0000-00000D0E0000}"/>
    <cellStyle name="Millares 5 2 2 2 6" xfId="2892" xr:uid="{00000000-0005-0000-0000-00000E0E0000}"/>
    <cellStyle name="Millares 5 2 2 3" xfId="582" xr:uid="{00000000-0005-0000-0000-00000F0E0000}"/>
    <cellStyle name="Millares 5 2 2 3 2" xfId="989" xr:uid="{00000000-0005-0000-0000-0000100E0000}"/>
    <cellStyle name="Millares 5 2 2 3 2 2" xfId="2572" xr:uid="{00000000-0005-0000-0000-0000110E0000}"/>
    <cellStyle name="Millares 5 2 2 3 2 2 2" xfId="4154" xr:uid="{00000000-0005-0000-0000-0000120E0000}"/>
    <cellStyle name="Millares 5 2 2 3 2 3" xfId="1781" xr:uid="{00000000-0005-0000-0000-0000130E0000}"/>
    <cellStyle name="Millares 5 2 2 3 2 4" xfId="3363" xr:uid="{00000000-0005-0000-0000-0000140E0000}"/>
    <cellStyle name="Millares 5 2 2 3 3" xfId="2178" xr:uid="{00000000-0005-0000-0000-0000150E0000}"/>
    <cellStyle name="Millares 5 2 2 3 3 2" xfId="3760" xr:uid="{00000000-0005-0000-0000-0000160E0000}"/>
    <cellStyle name="Millares 5 2 2 3 4" xfId="1387" xr:uid="{00000000-0005-0000-0000-0000170E0000}"/>
    <cellStyle name="Millares 5 2 2 3 5" xfId="2969" xr:uid="{00000000-0005-0000-0000-0000180E0000}"/>
    <cellStyle name="Millares 5 2 2 4" xfId="657" xr:uid="{00000000-0005-0000-0000-0000190E0000}"/>
    <cellStyle name="Millares 5 2 2 4 2" xfId="1057" xr:uid="{00000000-0005-0000-0000-00001A0E0000}"/>
    <cellStyle name="Millares 5 2 2 4 2 2" xfId="2640" xr:uid="{00000000-0005-0000-0000-00001B0E0000}"/>
    <cellStyle name="Millares 5 2 2 4 2 2 2" xfId="4222" xr:uid="{00000000-0005-0000-0000-00001C0E0000}"/>
    <cellStyle name="Millares 5 2 2 4 2 3" xfId="1849" xr:uid="{00000000-0005-0000-0000-00001D0E0000}"/>
    <cellStyle name="Millares 5 2 2 4 2 4" xfId="3431" xr:uid="{00000000-0005-0000-0000-00001E0E0000}"/>
    <cellStyle name="Millares 5 2 2 4 3" xfId="2246" xr:uid="{00000000-0005-0000-0000-00001F0E0000}"/>
    <cellStyle name="Millares 5 2 2 4 3 2" xfId="3828" xr:uid="{00000000-0005-0000-0000-0000200E0000}"/>
    <cellStyle name="Millares 5 2 2 4 4" xfId="1455" xr:uid="{00000000-0005-0000-0000-0000210E0000}"/>
    <cellStyle name="Millares 5 2 2 4 5" xfId="3037" xr:uid="{00000000-0005-0000-0000-0000220E0000}"/>
    <cellStyle name="Millares 5 2 2 5" xfId="836" xr:uid="{00000000-0005-0000-0000-0000230E0000}"/>
    <cellStyle name="Millares 5 2 2 5 2" xfId="2419" xr:uid="{00000000-0005-0000-0000-0000240E0000}"/>
    <cellStyle name="Millares 5 2 2 5 2 2" xfId="4001" xr:uid="{00000000-0005-0000-0000-0000250E0000}"/>
    <cellStyle name="Millares 5 2 2 5 3" xfId="1628" xr:uid="{00000000-0005-0000-0000-0000260E0000}"/>
    <cellStyle name="Millares 5 2 2 5 4" xfId="3210" xr:uid="{00000000-0005-0000-0000-0000270E0000}"/>
    <cellStyle name="Millares 5 2 2 6" xfId="2025" xr:uid="{00000000-0005-0000-0000-0000280E0000}"/>
    <cellStyle name="Millares 5 2 2 6 2" xfId="3607" xr:uid="{00000000-0005-0000-0000-0000290E0000}"/>
    <cellStyle name="Millares 5 2 2 7" xfId="1234" xr:uid="{00000000-0005-0000-0000-00002A0E0000}"/>
    <cellStyle name="Millares 5 2 2 8" xfId="2816" xr:uid="{00000000-0005-0000-0000-00002B0E0000}"/>
    <cellStyle name="Millares 5 2 3" xfId="464" xr:uid="{00000000-0005-0000-0000-00002C0E0000}"/>
    <cellStyle name="Millares 5 2 3 2" xfId="692" xr:uid="{00000000-0005-0000-0000-00002D0E0000}"/>
    <cellStyle name="Millares 5 2 3 2 2" xfId="1092" xr:uid="{00000000-0005-0000-0000-00002E0E0000}"/>
    <cellStyle name="Millares 5 2 3 2 2 2" xfId="2675" xr:uid="{00000000-0005-0000-0000-00002F0E0000}"/>
    <cellStyle name="Millares 5 2 3 2 2 2 2" xfId="4257" xr:uid="{00000000-0005-0000-0000-0000300E0000}"/>
    <cellStyle name="Millares 5 2 3 2 2 3" xfId="1884" xr:uid="{00000000-0005-0000-0000-0000310E0000}"/>
    <cellStyle name="Millares 5 2 3 2 2 4" xfId="3466" xr:uid="{00000000-0005-0000-0000-0000320E0000}"/>
    <cellStyle name="Millares 5 2 3 2 3" xfId="2281" xr:uid="{00000000-0005-0000-0000-0000330E0000}"/>
    <cellStyle name="Millares 5 2 3 2 3 2" xfId="3863" xr:uid="{00000000-0005-0000-0000-0000340E0000}"/>
    <cellStyle name="Millares 5 2 3 2 4" xfId="1490" xr:uid="{00000000-0005-0000-0000-0000350E0000}"/>
    <cellStyle name="Millares 5 2 3 2 5" xfId="3072" xr:uid="{00000000-0005-0000-0000-0000360E0000}"/>
    <cellStyle name="Millares 5 2 3 3" xfId="871" xr:uid="{00000000-0005-0000-0000-0000370E0000}"/>
    <cellStyle name="Millares 5 2 3 3 2" xfId="2454" xr:uid="{00000000-0005-0000-0000-0000380E0000}"/>
    <cellStyle name="Millares 5 2 3 3 2 2" xfId="4036" xr:uid="{00000000-0005-0000-0000-0000390E0000}"/>
    <cellStyle name="Millares 5 2 3 3 3" xfId="1663" xr:uid="{00000000-0005-0000-0000-00003A0E0000}"/>
    <cellStyle name="Millares 5 2 3 3 4" xfId="3245" xr:uid="{00000000-0005-0000-0000-00003B0E0000}"/>
    <cellStyle name="Millares 5 2 3 4" xfId="2060" xr:uid="{00000000-0005-0000-0000-00003C0E0000}"/>
    <cellStyle name="Millares 5 2 3 4 2" xfId="3642" xr:uid="{00000000-0005-0000-0000-00003D0E0000}"/>
    <cellStyle name="Millares 5 2 3 5" xfId="1269" xr:uid="{00000000-0005-0000-0000-00003E0E0000}"/>
    <cellStyle name="Millares 5 2 3 6" xfId="2851" xr:uid="{00000000-0005-0000-0000-00003F0E0000}"/>
    <cellStyle name="Millares 5 2 4" xfId="541" xr:uid="{00000000-0005-0000-0000-0000400E0000}"/>
    <cellStyle name="Millares 5 2 4 2" xfId="948" xr:uid="{00000000-0005-0000-0000-0000410E0000}"/>
    <cellStyle name="Millares 5 2 4 2 2" xfId="2531" xr:uid="{00000000-0005-0000-0000-0000420E0000}"/>
    <cellStyle name="Millares 5 2 4 2 2 2" xfId="4113" xr:uid="{00000000-0005-0000-0000-0000430E0000}"/>
    <cellStyle name="Millares 5 2 4 2 3" xfId="1740" xr:uid="{00000000-0005-0000-0000-0000440E0000}"/>
    <cellStyle name="Millares 5 2 4 2 4" xfId="3322" xr:uid="{00000000-0005-0000-0000-0000450E0000}"/>
    <cellStyle name="Millares 5 2 4 3" xfId="2137" xr:uid="{00000000-0005-0000-0000-0000460E0000}"/>
    <cellStyle name="Millares 5 2 4 3 2" xfId="3719" xr:uid="{00000000-0005-0000-0000-0000470E0000}"/>
    <cellStyle name="Millares 5 2 4 4" xfId="1346" xr:uid="{00000000-0005-0000-0000-0000480E0000}"/>
    <cellStyle name="Millares 5 2 4 5" xfId="2928" xr:uid="{00000000-0005-0000-0000-0000490E0000}"/>
    <cellStyle name="Millares 5 2 5" xfId="616" xr:uid="{00000000-0005-0000-0000-00004A0E0000}"/>
    <cellStyle name="Millares 5 2 5 2" xfId="1016" xr:uid="{00000000-0005-0000-0000-00004B0E0000}"/>
    <cellStyle name="Millares 5 2 5 2 2" xfId="2599" xr:uid="{00000000-0005-0000-0000-00004C0E0000}"/>
    <cellStyle name="Millares 5 2 5 2 2 2" xfId="4181" xr:uid="{00000000-0005-0000-0000-00004D0E0000}"/>
    <cellStyle name="Millares 5 2 5 2 3" xfId="1808" xr:uid="{00000000-0005-0000-0000-00004E0E0000}"/>
    <cellStyle name="Millares 5 2 5 2 4" xfId="3390" xr:uid="{00000000-0005-0000-0000-00004F0E0000}"/>
    <cellStyle name="Millares 5 2 5 3" xfId="2205" xr:uid="{00000000-0005-0000-0000-0000500E0000}"/>
    <cellStyle name="Millares 5 2 5 3 2" xfId="3787" xr:uid="{00000000-0005-0000-0000-0000510E0000}"/>
    <cellStyle name="Millares 5 2 5 4" xfId="1414" xr:uid="{00000000-0005-0000-0000-0000520E0000}"/>
    <cellStyle name="Millares 5 2 5 5" xfId="2996" xr:uid="{00000000-0005-0000-0000-0000530E0000}"/>
    <cellStyle name="Millares 5 2 6" xfId="768" xr:uid="{00000000-0005-0000-0000-0000540E0000}"/>
    <cellStyle name="Millares 5 2 6 2" xfId="1168" xr:uid="{00000000-0005-0000-0000-0000550E0000}"/>
    <cellStyle name="Millares 5 2 6 2 2" xfId="2751" xr:uid="{00000000-0005-0000-0000-0000560E0000}"/>
    <cellStyle name="Millares 5 2 6 2 2 2" xfId="4333" xr:uid="{00000000-0005-0000-0000-0000570E0000}"/>
    <cellStyle name="Millares 5 2 6 2 3" xfId="1960" xr:uid="{00000000-0005-0000-0000-0000580E0000}"/>
    <cellStyle name="Millares 5 2 6 2 4" xfId="3542" xr:uid="{00000000-0005-0000-0000-0000590E0000}"/>
    <cellStyle name="Millares 5 2 6 3" xfId="2357" xr:uid="{00000000-0005-0000-0000-00005A0E0000}"/>
    <cellStyle name="Millares 5 2 6 3 2" xfId="3939" xr:uid="{00000000-0005-0000-0000-00005B0E0000}"/>
    <cellStyle name="Millares 5 2 6 4" xfId="1566" xr:uid="{00000000-0005-0000-0000-00005C0E0000}"/>
    <cellStyle name="Millares 5 2 6 5" xfId="3148" xr:uid="{00000000-0005-0000-0000-00005D0E0000}"/>
    <cellStyle name="Millares 5 2 7" xfId="795" xr:uid="{00000000-0005-0000-0000-00005E0E0000}"/>
    <cellStyle name="Millares 5 2 7 2" xfId="2378" xr:uid="{00000000-0005-0000-0000-00005F0E0000}"/>
    <cellStyle name="Millares 5 2 7 2 2" xfId="3960" xr:uid="{00000000-0005-0000-0000-0000600E0000}"/>
    <cellStyle name="Millares 5 2 7 3" xfId="1587" xr:uid="{00000000-0005-0000-0000-0000610E0000}"/>
    <cellStyle name="Millares 5 2 7 4" xfId="3169" xr:uid="{00000000-0005-0000-0000-0000620E0000}"/>
    <cellStyle name="Millares 5 2 8" xfId="1984" xr:uid="{00000000-0005-0000-0000-0000630E0000}"/>
    <cellStyle name="Millares 5 2 8 2" xfId="3566" xr:uid="{00000000-0005-0000-0000-0000640E0000}"/>
    <cellStyle name="Millares 5 2 9" xfId="1193" xr:uid="{00000000-0005-0000-0000-0000650E0000}"/>
    <cellStyle name="Millares 5 3" xfId="377" xr:uid="{00000000-0005-0000-0000-0000660E0000}"/>
    <cellStyle name="Millares 5 3 2" xfId="492" xr:uid="{00000000-0005-0000-0000-0000670E0000}"/>
    <cellStyle name="Millares 5 3 2 2" xfId="720" xr:uid="{00000000-0005-0000-0000-0000680E0000}"/>
    <cellStyle name="Millares 5 3 2 2 2" xfId="1120" xr:uid="{00000000-0005-0000-0000-0000690E0000}"/>
    <cellStyle name="Millares 5 3 2 2 2 2" xfId="2703" xr:uid="{00000000-0005-0000-0000-00006A0E0000}"/>
    <cellStyle name="Millares 5 3 2 2 2 2 2" xfId="4285" xr:uid="{00000000-0005-0000-0000-00006B0E0000}"/>
    <cellStyle name="Millares 5 3 2 2 2 3" xfId="1912" xr:uid="{00000000-0005-0000-0000-00006C0E0000}"/>
    <cellStyle name="Millares 5 3 2 2 2 4" xfId="3494" xr:uid="{00000000-0005-0000-0000-00006D0E0000}"/>
    <cellStyle name="Millares 5 3 2 2 3" xfId="2309" xr:uid="{00000000-0005-0000-0000-00006E0E0000}"/>
    <cellStyle name="Millares 5 3 2 2 3 2" xfId="3891" xr:uid="{00000000-0005-0000-0000-00006F0E0000}"/>
    <cellStyle name="Millares 5 3 2 2 4" xfId="1518" xr:uid="{00000000-0005-0000-0000-0000700E0000}"/>
    <cellStyle name="Millares 5 3 2 2 5" xfId="3100" xr:uid="{00000000-0005-0000-0000-0000710E0000}"/>
    <cellStyle name="Millares 5 3 2 3" xfId="899" xr:uid="{00000000-0005-0000-0000-0000720E0000}"/>
    <cellStyle name="Millares 5 3 2 3 2" xfId="2482" xr:uid="{00000000-0005-0000-0000-0000730E0000}"/>
    <cellStyle name="Millares 5 3 2 3 2 2" xfId="4064" xr:uid="{00000000-0005-0000-0000-0000740E0000}"/>
    <cellStyle name="Millares 5 3 2 3 3" xfId="1691" xr:uid="{00000000-0005-0000-0000-0000750E0000}"/>
    <cellStyle name="Millares 5 3 2 3 4" xfId="3273" xr:uid="{00000000-0005-0000-0000-0000760E0000}"/>
    <cellStyle name="Millares 5 3 2 4" xfId="2088" xr:uid="{00000000-0005-0000-0000-0000770E0000}"/>
    <cellStyle name="Millares 5 3 2 4 2" xfId="3670" xr:uid="{00000000-0005-0000-0000-0000780E0000}"/>
    <cellStyle name="Millares 5 3 2 5" xfId="1297" xr:uid="{00000000-0005-0000-0000-0000790E0000}"/>
    <cellStyle name="Millares 5 3 2 6" xfId="2879" xr:uid="{00000000-0005-0000-0000-00007A0E0000}"/>
    <cellStyle name="Millares 5 3 3" xfId="569" xr:uid="{00000000-0005-0000-0000-00007B0E0000}"/>
    <cellStyle name="Millares 5 3 3 2" xfId="976" xr:uid="{00000000-0005-0000-0000-00007C0E0000}"/>
    <cellStyle name="Millares 5 3 3 2 2" xfId="2559" xr:uid="{00000000-0005-0000-0000-00007D0E0000}"/>
    <cellStyle name="Millares 5 3 3 2 2 2" xfId="4141" xr:uid="{00000000-0005-0000-0000-00007E0E0000}"/>
    <cellStyle name="Millares 5 3 3 2 3" xfId="1768" xr:uid="{00000000-0005-0000-0000-00007F0E0000}"/>
    <cellStyle name="Millares 5 3 3 2 4" xfId="3350" xr:uid="{00000000-0005-0000-0000-0000800E0000}"/>
    <cellStyle name="Millares 5 3 3 3" xfId="2165" xr:uid="{00000000-0005-0000-0000-0000810E0000}"/>
    <cellStyle name="Millares 5 3 3 3 2" xfId="3747" xr:uid="{00000000-0005-0000-0000-0000820E0000}"/>
    <cellStyle name="Millares 5 3 3 4" xfId="1374" xr:uid="{00000000-0005-0000-0000-0000830E0000}"/>
    <cellStyle name="Millares 5 3 3 5" xfId="2956" xr:uid="{00000000-0005-0000-0000-0000840E0000}"/>
    <cellStyle name="Millares 5 3 4" xfId="644" xr:uid="{00000000-0005-0000-0000-0000850E0000}"/>
    <cellStyle name="Millares 5 3 4 2" xfId="1044" xr:uid="{00000000-0005-0000-0000-0000860E0000}"/>
    <cellStyle name="Millares 5 3 4 2 2" xfId="2627" xr:uid="{00000000-0005-0000-0000-0000870E0000}"/>
    <cellStyle name="Millares 5 3 4 2 2 2" xfId="4209" xr:uid="{00000000-0005-0000-0000-0000880E0000}"/>
    <cellStyle name="Millares 5 3 4 2 3" xfId="1836" xr:uid="{00000000-0005-0000-0000-0000890E0000}"/>
    <cellStyle name="Millares 5 3 4 2 4" xfId="3418" xr:uid="{00000000-0005-0000-0000-00008A0E0000}"/>
    <cellStyle name="Millares 5 3 4 3" xfId="2233" xr:uid="{00000000-0005-0000-0000-00008B0E0000}"/>
    <cellStyle name="Millares 5 3 4 3 2" xfId="3815" xr:uid="{00000000-0005-0000-0000-00008C0E0000}"/>
    <cellStyle name="Millares 5 3 4 4" xfId="1442" xr:uid="{00000000-0005-0000-0000-00008D0E0000}"/>
    <cellStyle name="Millares 5 3 4 5" xfId="3024" xr:uid="{00000000-0005-0000-0000-00008E0E0000}"/>
    <cellStyle name="Millares 5 3 5" xfId="823" xr:uid="{00000000-0005-0000-0000-00008F0E0000}"/>
    <cellStyle name="Millares 5 3 5 2" xfId="2406" xr:uid="{00000000-0005-0000-0000-0000900E0000}"/>
    <cellStyle name="Millares 5 3 5 2 2" xfId="3988" xr:uid="{00000000-0005-0000-0000-0000910E0000}"/>
    <cellStyle name="Millares 5 3 5 3" xfId="1615" xr:uid="{00000000-0005-0000-0000-0000920E0000}"/>
    <cellStyle name="Millares 5 3 5 4" xfId="3197" xr:uid="{00000000-0005-0000-0000-0000930E0000}"/>
    <cellStyle name="Millares 5 3 6" xfId="2012" xr:uid="{00000000-0005-0000-0000-0000940E0000}"/>
    <cellStyle name="Millares 5 3 6 2" xfId="3594" xr:uid="{00000000-0005-0000-0000-0000950E0000}"/>
    <cellStyle name="Millares 5 3 7" xfId="1221" xr:uid="{00000000-0005-0000-0000-0000960E0000}"/>
    <cellStyle name="Millares 5 3 8" xfId="2803" xr:uid="{00000000-0005-0000-0000-0000970E0000}"/>
    <cellStyle name="Millares 5 4" xfId="451" xr:uid="{00000000-0005-0000-0000-0000980E0000}"/>
    <cellStyle name="Millares 5 4 2" xfId="679" xr:uid="{00000000-0005-0000-0000-0000990E0000}"/>
    <cellStyle name="Millares 5 4 2 2" xfId="1079" xr:uid="{00000000-0005-0000-0000-00009A0E0000}"/>
    <cellStyle name="Millares 5 4 2 2 2" xfId="2662" xr:uid="{00000000-0005-0000-0000-00009B0E0000}"/>
    <cellStyle name="Millares 5 4 2 2 2 2" xfId="4244" xr:uid="{00000000-0005-0000-0000-00009C0E0000}"/>
    <cellStyle name="Millares 5 4 2 2 3" xfId="1871" xr:uid="{00000000-0005-0000-0000-00009D0E0000}"/>
    <cellStyle name="Millares 5 4 2 2 4" xfId="3453" xr:uid="{00000000-0005-0000-0000-00009E0E0000}"/>
    <cellStyle name="Millares 5 4 2 3" xfId="2268" xr:uid="{00000000-0005-0000-0000-00009F0E0000}"/>
    <cellStyle name="Millares 5 4 2 3 2" xfId="3850" xr:uid="{00000000-0005-0000-0000-0000A00E0000}"/>
    <cellStyle name="Millares 5 4 2 4" xfId="1477" xr:uid="{00000000-0005-0000-0000-0000A10E0000}"/>
    <cellStyle name="Millares 5 4 2 5" xfId="3059" xr:uid="{00000000-0005-0000-0000-0000A20E0000}"/>
    <cellStyle name="Millares 5 4 3" xfId="858" xr:uid="{00000000-0005-0000-0000-0000A30E0000}"/>
    <cellStyle name="Millares 5 4 3 2" xfId="2441" xr:uid="{00000000-0005-0000-0000-0000A40E0000}"/>
    <cellStyle name="Millares 5 4 3 2 2" xfId="4023" xr:uid="{00000000-0005-0000-0000-0000A50E0000}"/>
    <cellStyle name="Millares 5 4 3 3" xfId="1650" xr:uid="{00000000-0005-0000-0000-0000A60E0000}"/>
    <cellStyle name="Millares 5 4 3 4" xfId="3232" xr:uid="{00000000-0005-0000-0000-0000A70E0000}"/>
    <cellStyle name="Millares 5 4 4" xfId="2047" xr:uid="{00000000-0005-0000-0000-0000A80E0000}"/>
    <cellStyle name="Millares 5 4 4 2" xfId="3629" xr:uid="{00000000-0005-0000-0000-0000A90E0000}"/>
    <cellStyle name="Millares 5 4 5" xfId="1256" xr:uid="{00000000-0005-0000-0000-0000AA0E0000}"/>
    <cellStyle name="Millares 5 4 6" xfId="2838" xr:uid="{00000000-0005-0000-0000-0000AB0E0000}"/>
    <cellStyle name="Millares 5 5" xfId="528" xr:uid="{00000000-0005-0000-0000-0000AC0E0000}"/>
    <cellStyle name="Millares 5 5 2" xfId="935" xr:uid="{00000000-0005-0000-0000-0000AD0E0000}"/>
    <cellStyle name="Millares 5 5 2 2" xfId="2518" xr:uid="{00000000-0005-0000-0000-0000AE0E0000}"/>
    <cellStyle name="Millares 5 5 2 2 2" xfId="4100" xr:uid="{00000000-0005-0000-0000-0000AF0E0000}"/>
    <cellStyle name="Millares 5 5 2 3" xfId="1727" xr:uid="{00000000-0005-0000-0000-0000B00E0000}"/>
    <cellStyle name="Millares 5 5 2 4" xfId="3309" xr:uid="{00000000-0005-0000-0000-0000B10E0000}"/>
    <cellStyle name="Millares 5 5 3" xfId="2124" xr:uid="{00000000-0005-0000-0000-0000B20E0000}"/>
    <cellStyle name="Millares 5 5 3 2" xfId="3706" xr:uid="{00000000-0005-0000-0000-0000B30E0000}"/>
    <cellStyle name="Millares 5 5 4" xfId="1333" xr:uid="{00000000-0005-0000-0000-0000B40E0000}"/>
    <cellStyle name="Millares 5 5 5" xfId="2915" xr:uid="{00000000-0005-0000-0000-0000B50E0000}"/>
    <cellStyle name="Millares 5 6" xfId="603" xr:uid="{00000000-0005-0000-0000-0000B60E0000}"/>
    <cellStyle name="Millares 5 6 2" xfId="1003" xr:uid="{00000000-0005-0000-0000-0000B70E0000}"/>
    <cellStyle name="Millares 5 6 2 2" xfId="2586" xr:uid="{00000000-0005-0000-0000-0000B80E0000}"/>
    <cellStyle name="Millares 5 6 2 2 2" xfId="4168" xr:uid="{00000000-0005-0000-0000-0000B90E0000}"/>
    <cellStyle name="Millares 5 6 2 3" xfId="1795" xr:uid="{00000000-0005-0000-0000-0000BA0E0000}"/>
    <cellStyle name="Millares 5 6 2 4" xfId="3377" xr:uid="{00000000-0005-0000-0000-0000BB0E0000}"/>
    <cellStyle name="Millares 5 6 3" xfId="2192" xr:uid="{00000000-0005-0000-0000-0000BC0E0000}"/>
    <cellStyle name="Millares 5 6 3 2" xfId="3774" xr:uid="{00000000-0005-0000-0000-0000BD0E0000}"/>
    <cellStyle name="Millares 5 6 4" xfId="1401" xr:uid="{00000000-0005-0000-0000-0000BE0E0000}"/>
    <cellStyle name="Millares 5 6 5" xfId="2983" xr:uid="{00000000-0005-0000-0000-0000BF0E0000}"/>
    <cellStyle name="Millares 5 7" xfId="755" xr:uid="{00000000-0005-0000-0000-0000C00E0000}"/>
    <cellStyle name="Millares 5 7 2" xfId="1155" xr:uid="{00000000-0005-0000-0000-0000C10E0000}"/>
    <cellStyle name="Millares 5 7 2 2" xfId="2738" xr:uid="{00000000-0005-0000-0000-0000C20E0000}"/>
    <cellStyle name="Millares 5 7 2 2 2" xfId="4320" xr:uid="{00000000-0005-0000-0000-0000C30E0000}"/>
    <cellStyle name="Millares 5 7 2 3" xfId="1947" xr:uid="{00000000-0005-0000-0000-0000C40E0000}"/>
    <cellStyle name="Millares 5 7 2 4" xfId="3529" xr:uid="{00000000-0005-0000-0000-0000C50E0000}"/>
    <cellStyle name="Millares 5 7 3" xfId="2344" xr:uid="{00000000-0005-0000-0000-0000C60E0000}"/>
    <cellStyle name="Millares 5 7 3 2" xfId="3926" xr:uid="{00000000-0005-0000-0000-0000C70E0000}"/>
    <cellStyle name="Millares 5 7 4" xfId="1553" xr:uid="{00000000-0005-0000-0000-0000C80E0000}"/>
    <cellStyle name="Millares 5 7 5" xfId="3135" xr:uid="{00000000-0005-0000-0000-0000C90E0000}"/>
    <cellStyle name="Millares 5 8" xfId="782" xr:uid="{00000000-0005-0000-0000-0000CA0E0000}"/>
    <cellStyle name="Millares 5 8 2" xfId="2365" xr:uid="{00000000-0005-0000-0000-0000CB0E0000}"/>
    <cellStyle name="Millares 5 8 2 2" xfId="3947" xr:uid="{00000000-0005-0000-0000-0000CC0E0000}"/>
    <cellStyle name="Millares 5 8 3" xfId="1574" xr:uid="{00000000-0005-0000-0000-0000CD0E0000}"/>
    <cellStyle name="Millares 5 8 4" xfId="3156" xr:uid="{00000000-0005-0000-0000-0000CE0E0000}"/>
    <cellStyle name="Millares 5 9" xfId="1971" xr:uid="{00000000-0005-0000-0000-0000CF0E0000}"/>
    <cellStyle name="Millares 5 9 2" xfId="3553" xr:uid="{00000000-0005-0000-0000-0000D00E0000}"/>
    <cellStyle name="Millares 50" xfId="749" xr:uid="{00000000-0005-0000-0000-0000D10E0000}"/>
    <cellStyle name="Millares 50 2" xfId="1149" xr:uid="{00000000-0005-0000-0000-0000D20E0000}"/>
    <cellStyle name="Millares 50 2 2" xfId="2732" xr:uid="{00000000-0005-0000-0000-0000D30E0000}"/>
    <cellStyle name="Millares 50 2 2 2" xfId="4314" xr:uid="{00000000-0005-0000-0000-0000D40E0000}"/>
    <cellStyle name="Millares 50 2 3" xfId="1941" xr:uid="{00000000-0005-0000-0000-0000D50E0000}"/>
    <cellStyle name="Millares 50 2 4" xfId="3523" xr:uid="{00000000-0005-0000-0000-0000D60E0000}"/>
    <cellStyle name="Millares 50 3" xfId="2338" xr:uid="{00000000-0005-0000-0000-0000D70E0000}"/>
    <cellStyle name="Millares 50 3 2" xfId="3920" xr:uid="{00000000-0005-0000-0000-0000D80E0000}"/>
    <cellStyle name="Millares 50 4" xfId="1547" xr:uid="{00000000-0005-0000-0000-0000D90E0000}"/>
    <cellStyle name="Millares 50 5" xfId="3129" xr:uid="{00000000-0005-0000-0000-0000DA0E0000}"/>
    <cellStyle name="Millares 51" xfId="770" xr:uid="{00000000-0005-0000-0000-0000DB0E0000}"/>
    <cellStyle name="Millares 51 2" xfId="2359" xr:uid="{00000000-0005-0000-0000-0000DC0E0000}"/>
    <cellStyle name="Millares 51 2 2" xfId="3941" xr:uid="{00000000-0005-0000-0000-0000DD0E0000}"/>
    <cellStyle name="Millares 51 3" xfId="1568" xr:uid="{00000000-0005-0000-0000-0000DE0E0000}"/>
    <cellStyle name="Millares 51 4" xfId="3150" xr:uid="{00000000-0005-0000-0000-0000DF0E0000}"/>
    <cellStyle name="Millares 52" xfId="1170" xr:uid="{00000000-0005-0000-0000-0000E00E0000}"/>
    <cellStyle name="Millares 52 2" xfId="2753" xr:uid="{00000000-0005-0000-0000-0000E10E0000}"/>
    <cellStyle name="Millares 52 2 2" xfId="4335" xr:uid="{00000000-0005-0000-0000-0000E20E0000}"/>
    <cellStyle name="Millares 52 3" xfId="1962" xr:uid="{00000000-0005-0000-0000-0000E30E0000}"/>
    <cellStyle name="Millares 52 4" xfId="3544" xr:uid="{00000000-0005-0000-0000-0000E40E0000}"/>
    <cellStyle name="Millares 53" xfId="1172" xr:uid="{00000000-0005-0000-0000-0000E50E0000}"/>
    <cellStyle name="Millares 53 2" xfId="2754" xr:uid="{00000000-0005-0000-0000-0000E60E0000}"/>
    <cellStyle name="Millares 53 2 2" xfId="4336" xr:uid="{00000000-0005-0000-0000-0000E70E0000}"/>
    <cellStyle name="Millares 53 3" xfId="1963" xr:uid="{00000000-0005-0000-0000-0000E80E0000}"/>
    <cellStyle name="Millares 53 4" xfId="3545" xr:uid="{00000000-0005-0000-0000-0000E90E0000}"/>
    <cellStyle name="Millares 54" xfId="1964" xr:uid="{00000000-0005-0000-0000-0000EA0E0000}"/>
    <cellStyle name="Millares 54 2" xfId="3546" xr:uid="{00000000-0005-0000-0000-0000EB0E0000}"/>
    <cellStyle name="Millares 55" xfId="1966" xr:uid="{00000000-0005-0000-0000-0000EC0E0000}"/>
    <cellStyle name="Millares 55 2" xfId="3548" xr:uid="{00000000-0005-0000-0000-0000ED0E0000}"/>
    <cellStyle name="Millares 56" xfId="1174" xr:uid="{00000000-0005-0000-0000-0000EE0E0000}"/>
    <cellStyle name="Millares 57" xfId="2755" xr:uid="{00000000-0005-0000-0000-0000EF0E0000}"/>
    <cellStyle name="Millares 58" xfId="2757" xr:uid="{00000000-0005-0000-0000-0000F00E0000}"/>
    <cellStyle name="Millares 59" xfId="4338" xr:uid="{00000000-0005-0000-0000-0000F10E0000}"/>
    <cellStyle name="Millares 6" xfId="302" xr:uid="{00000000-0005-0000-0000-0000F20E0000}"/>
    <cellStyle name="Millares 6 10" xfId="2765" xr:uid="{00000000-0005-0000-0000-0000F30E0000}"/>
    <cellStyle name="Millares 6 11" xfId="4598" xr:uid="{EE36D0AC-7E3A-4170-996D-A217C6786C16}"/>
    <cellStyle name="Millares 6 12" xfId="4627" xr:uid="{FCD04B3B-BF41-4CFD-8751-A0F1E30AB068}"/>
    <cellStyle name="Millares 6 12 2" xfId="5003" xr:uid="{72FE29C8-6D41-4E21-9197-A57C7DD652C4}"/>
    <cellStyle name="Millares 6 13" xfId="4892" xr:uid="{070D39B2-29F7-4C43-9EDD-A6B65AFB7175}"/>
    <cellStyle name="Millares 6 13 2" xfId="5177" xr:uid="{71E834A3-683D-46A2-A099-E706F86EBE3E}"/>
    <cellStyle name="Millares 6 14" xfId="4390" xr:uid="{53D2B91A-53F6-4429-82AD-7A2334CBCAB8}"/>
    <cellStyle name="Millares 6 15" xfId="4905" xr:uid="{4A29CFE4-4ED2-4AF6-A03C-159F568FC12E}"/>
    <cellStyle name="Millares 6 2" xfId="380" xr:uid="{00000000-0005-0000-0000-0000F40E0000}"/>
    <cellStyle name="Millares 6 2 2" xfId="495" xr:uid="{00000000-0005-0000-0000-0000F50E0000}"/>
    <cellStyle name="Millares 6 2 2 2" xfId="723" xr:uid="{00000000-0005-0000-0000-0000F60E0000}"/>
    <cellStyle name="Millares 6 2 2 2 2" xfId="1123" xr:uid="{00000000-0005-0000-0000-0000F70E0000}"/>
    <cellStyle name="Millares 6 2 2 2 2 2" xfId="2706" xr:uid="{00000000-0005-0000-0000-0000F80E0000}"/>
    <cellStyle name="Millares 6 2 2 2 2 2 2" xfId="4288" xr:uid="{00000000-0005-0000-0000-0000F90E0000}"/>
    <cellStyle name="Millares 6 2 2 2 2 3" xfId="1915" xr:uid="{00000000-0005-0000-0000-0000FA0E0000}"/>
    <cellStyle name="Millares 6 2 2 2 2 4" xfId="3497" xr:uid="{00000000-0005-0000-0000-0000FB0E0000}"/>
    <cellStyle name="Millares 6 2 2 2 3" xfId="2312" xr:uid="{00000000-0005-0000-0000-0000FC0E0000}"/>
    <cellStyle name="Millares 6 2 2 2 3 2" xfId="3894" xr:uid="{00000000-0005-0000-0000-0000FD0E0000}"/>
    <cellStyle name="Millares 6 2 2 2 4" xfId="1521" xr:uid="{00000000-0005-0000-0000-0000FE0E0000}"/>
    <cellStyle name="Millares 6 2 2 2 5" xfId="3103" xr:uid="{00000000-0005-0000-0000-0000FF0E0000}"/>
    <cellStyle name="Millares 6 2 2 3" xfId="902" xr:uid="{00000000-0005-0000-0000-0000000F0000}"/>
    <cellStyle name="Millares 6 2 2 3 2" xfId="2485" xr:uid="{00000000-0005-0000-0000-0000010F0000}"/>
    <cellStyle name="Millares 6 2 2 3 2 2" xfId="4067" xr:uid="{00000000-0005-0000-0000-0000020F0000}"/>
    <cellStyle name="Millares 6 2 2 3 3" xfId="1694" xr:uid="{00000000-0005-0000-0000-0000030F0000}"/>
    <cellStyle name="Millares 6 2 2 3 4" xfId="3276" xr:uid="{00000000-0005-0000-0000-0000040F0000}"/>
    <cellStyle name="Millares 6 2 2 4" xfId="2091" xr:uid="{00000000-0005-0000-0000-0000050F0000}"/>
    <cellStyle name="Millares 6 2 2 4 2" xfId="3673" xr:uid="{00000000-0005-0000-0000-0000060F0000}"/>
    <cellStyle name="Millares 6 2 2 5" xfId="1300" xr:uid="{00000000-0005-0000-0000-0000070F0000}"/>
    <cellStyle name="Millares 6 2 2 6" xfId="2882" xr:uid="{00000000-0005-0000-0000-0000080F0000}"/>
    <cellStyle name="Millares 6 2 3" xfId="572" xr:uid="{00000000-0005-0000-0000-0000090F0000}"/>
    <cellStyle name="Millares 6 2 3 2" xfId="979" xr:uid="{00000000-0005-0000-0000-00000A0F0000}"/>
    <cellStyle name="Millares 6 2 3 2 2" xfId="2562" xr:uid="{00000000-0005-0000-0000-00000B0F0000}"/>
    <cellStyle name="Millares 6 2 3 2 2 2" xfId="4144" xr:uid="{00000000-0005-0000-0000-00000C0F0000}"/>
    <cellStyle name="Millares 6 2 3 2 3" xfId="1771" xr:uid="{00000000-0005-0000-0000-00000D0F0000}"/>
    <cellStyle name="Millares 6 2 3 2 4" xfId="3353" xr:uid="{00000000-0005-0000-0000-00000E0F0000}"/>
    <cellStyle name="Millares 6 2 3 3" xfId="2168" xr:uid="{00000000-0005-0000-0000-00000F0F0000}"/>
    <cellStyle name="Millares 6 2 3 3 2" xfId="3750" xr:uid="{00000000-0005-0000-0000-0000100F0000}"/>
    <cellStyle name="Millares 6 2 3 4" xfId="1377" xr:uid="{00000000-0005-0000-0000-0000110F0000}"/>
    <cellStyle name="Millares 6 2 3 5" xfId="2959" xr:uid="{00000000-0005-0000-0000-0000120F0000}"/>
    <cellStyle name="Millares 6 2 4" xfId="647" xr:uid="{00000000-0005-0000-0000-0000130F0000}"/>
    <cellStyle name="Millares 6 2 4 2" xfId="1047" xr:uid="{00000000-0005-0000-0000-0000140F0000}"/>
    <cellStyle name="Millares 6 2 4 2 2" xfId="2630" xr:uid="{00000000-0005-0000-0000-0000150F0000}"/>
    <cellStyle name="Millares 6 2 4 2 2 2" xfId="4212" xr:uid="{00000000-0005-0000-0000-0000160F0000}"/>
    <cellStyle name="Millares 6 2 4 2 3" xfId="1839" xr:uid="{00000000-0005-0000-0000-0000170F0000}"/>
    <cellStyle name="Millares 6 2 4 2 4" xfId="3421" xr:uid="{00000000-0005-0000-0000-0000180F0000}"/>
    <cellStyle name="Millares 6 2 4 3" xfId="2236" xr:uid="{00000000-0005-0000-0000-0000190F0000}"/>
    <cellStyle name="Millares 6 2 4 3 2" xfId="3818" xr:uid="{00000000-0005-0000-0000-00001A0F0000}"/>
    <cellStyle name="Millares 6 2 4 4" xfId="1445" xr:uid="{00000000-0005-0000-0000-00001B0F0000}"/>
    <cellStyle name="Millares 6 2 4 5" xfId="3027" xr:uid="{00000000-0005-0000-0000-00001C0F0000}"/>
    <cellStyle name="Millares 6 2 5" xfId="826" xr:uid="{00000000-0005-0000-0000-00001D0F0000}"/>
    <cellStyle name="Millares 6 2 5 2" xfId="2409" xr:uid="{00000000-0005-0000-0000-00001E0F0000}"/>
    <cellStyle name="Millares 6 2 5 2 2" xfId="3991" xr:uid="{00000000-0005-0000-0000-00001F0F0000}"/>
    <cellStyle name="Millares 6 2 5 3" xfId="1618" xr:uid="{00000000-0005-0000-0000-0000200F0000}"/>
    <cellStyle name="Millares 6 2 5 4" xfId="3200" xr:uid="{00000000-0005-0000-0000-0000210F0000}"/>
    <cellStyle name="Millares 6 2 6" xfId="2015" xr:uid="{00000000-0005-0000-0000-0000220F0000}"/>
    <cellStyle name="Millares 6 2 6 2" xfId="3597" xr:uid="{00000000-0005-0000-0000-0000230F0000}"/>
    <cellStyle name="Millares 6 2 7" xfId="1224" xr:uid="{00000000-0005-0000-0000-0000240F0000}"/>
    <cellStyle name="Millares 6 2 8" xfId="2806" xr:uid="{00000000-0005-0000-0000-0000250F0000}"/>
    <cellStyle name="Millares 6 3" xfId="454" xr:uid="{00000000-0005-0000-0000-0000260F0000}"/>
    <cellStyle name="Millares 6 3 2" xfId="682" xr:uid="{00000000-0005-0000-0000-0000270F0000}"/>
    <cellStyle name="Millares 6 3 2 2" xfId="1082" xr:uid="{00000000-0005-0000-0000-0000280F0000}"/>
    <cellStyle name="Millares 6 3 2 2 2" xfId="2665" xr:uid="{00000000-0005-0000-0000-0000290F0000}"/>
    <cellStyle name="Millares 6 3 2 2 2 2" xfId="4247" xr:uid="{00000000-0005-0000-0000-00002A0F0000}"/>
    <cellStyle name="Millares 6 3 2 2 3" xfId="1874" xr:uid="{00000000-0005-0000-0000-00002B0F0000}"/>
    <cellStyle name="Millares 6 3 2 2 4" xfId="3456" xr:uid="{00000000-0005-0000-0000-00002C0F0000}"/>
    <cellStyle name="Millares 6 3 2 3" xfId="2271" xr:uid="{00000000-0005-0000-0000-00002D0F0000}"/>
    <cellStyle name="Millares 6 3 2 3 2" xfId="3853" xr:uid="{00000000-0005-0000-0000-00002E0F0000}"/>
    <cellStyle name="Millares 6 3 2 4" xfId="1480" xr:uid="{00000000-0005-0000-0000-00002F0F0000}"/>
    <cellStyle name="Millares 6 3 2 5" xfId="3062" xr:uid="{00000000-0005-0000-0000-0000300F0000}"/>
    <cellStyle name="Millares 6 3 3" xfId="861" xr:uid="{00000000-0005-0000-0000-0000310F0000}"/>
    <cellStyle name="Millares 6 3 3 2" xfId="2444" xr:uid="{00000000-0005-0000-0000-0000320F0000}"/>
    <cellStyle name="Millares 6 3 3 2 2" xfId="4026" xr:uid="{00000000-0005-0000-0000-0000330F0000}"/>
    <cellStyle name="Millares 6 3 3 3" xfId="1653" xr:uid="{00000000-0005-0000-0000-0000340F0000}"/>
    <cellStyle name="Millares 6 3 3 4" xfId="3235" xr:uid="{00000000-0005-0000-0000-0000350F0000}"/>
    <cellStyle name="Millares 6 3 4" xfId="2050" xr:uid="{00000000-0005-0000-0000-0000360F0000}"/>
    <cellStyle name="Millares 6 3 4 2" xfId="3632" xr:uid="{00000000-0005-0000-0000-0000370F0000}"/>
    <cellStyle name="Millares 6 3 5" xfId="1259" xr:uid="{00000000-0005-0000-0000-0000380F0000}"/>
    <cellStyle name="Millares 6 3 6" xfId="2841" xr:uid="{00000000-0005-0000-0000-0000390F0000}"/>
    <cellStyle name="Millares 6 4" xfId="531" xr:uid="{00000000-0005-0000-0000-00003A0F0000}"/>
    <cellStyle name="Millares 6 4 2" xfId="938" xr:uid="{00000000-0005-0000-0000-00003B0F0000}"/>
    <cellStyle name="Millares 6 4 2 2" xfId="2521" xr:uid="{00000000-0005-0000-0000-00003C0F0000}"/>
    <cellStyle name="Millares 6 4 2 2 2" xfId="4103" xr:uid="{00000000-0005-0000-0000-00003D0F0000}"/>
    <cellStyle name="Millares 6 4 2 3" xfId="1730" xr:uid="{00000000-0005-0000-0000-00003E0F0000}"/>
    <cellStyle name="Millares 6 4 2 4" xfId="3312" xr:uid="{00000000-0005-0000-0000-00003F0F0000}"/>
    <cellStyle name="Millares 6 4 3" xfId="2127" xr:uid="{00000000-0005-0000-0000-0000400F0000}"/>
    <cellStyle name="Millares 6 4 3 2" xfId="3709" xr:uid="{00000000-0005-0000-0000-0000410F0000}"/>
    <cellStyle name="Millares 6 4 4" xfId="1336" xr:uid="{00000000-0005-0000-0000-0000420F0000}"/>
    <cellStyle name="Millares 6 4 5" xfId="2918" xr:uid="{00000000-0005-0000-0000-0000430F0000}"/>
    <cellStyle name="Millares 6 5" xfId="606" xr:uid="{00000000-0005-0000-0000-0000440F0000}"/>
    <cellStyle name="Millares 6 5 2" xfId="1006" xr:uid="{00000000-0005-0000-0000-0000450F0000}"/>
    <cellStyle name="Millares 6 5 2 2" xfId="2589" xr:uid="{00000000-0005-0000-0000-0000460F0000}"/>
    <cellStyle name="Millares 6 5 2 2 2" xfId="4171" xr:uid="{00000000-0005-0000-0000-0000470F0000}"/>
    <cellStyle name="Millares 6 5 2 3" xfId="1798" xr:uid="{00000000-0005-0000-0000-0000480F0000}"/>
    <cellStyle name="Millares 6 5 2 4" xfId="3380" xr:uid="{00000000-0005-0000-0000-0000490F0000}"/>
    <cellStyle name="Millares 6 5 3" xfId="2195" xr:uid="{00000000-0005-0000-0000-00004A0F0000}"/>
    <cellStyle name="Millares 6 5 3 2" xfId="3777" xr:uid="{00000000-0005-0000-0000-00004B0F0000}"/>
    <cellStyle name="Millares 6 5 4" xfId="1404" xr:uid="{00000000-0005-0000-0000-00004C0F0000}"/>
    <cellStyle name="Millares 6 5 5" xfId="2986" xr:uid="{00000000-0005-0000-0000-00004D0F0000}"/>
    <cellStyle name="Millares 6 6" xfId="758" xr:uid="{00000000-0005-0000-0000-00004E0F0000}"/>
    <cellStyle name="Millares 6 6 2" xfId="1158" xr:uid="{00000000-0005-0000-0000-00004F0F0000}"/>
    <cellStyle name="Millares 6 6 2 2" xfId="2741" xr:uid="{00000000-0005-0000-0000-0000500F0000}"/>
    <cellStyle name="Millares 6 6 2 2 2" xfId="4323" xr:uid="{00000000-0005-0000-0000-0000510F0000}"/>
    <cellStyle name="Millares 6 6 2 3" xfId="1950" xr:uid="{00000000-0005-0000-0000-0000520F0000}"/>
    <cellStyle name="Millares 6 6 2 4" xfId="3532" xr:uid="{00000000-0005-0000-0000-0000530F0000}"/>
    <cellStyle name="Millares 6 6 3" xfId="2347" xr:uid="{00000000-0005-0000-0000-0000540F0000}"/>
    <cellStyle name="Millares 6 6 3 2" xfId="3929" xr:uid="{00000000-0005-0000-0000-0000550F0000}"/>
    <cellStyle name="Millares 6 6 4" xfId="1556" xr:uid="{00000000-0005-0000-0000-0000560F0000}"/>
    <cellStyle name="Millares 6 6 5" xfId="3138" xr:uid="{00000000-0005-0000-0000-0000570F0000}"/>
    <cellStyle name="Millares 6 7" xfId="785" xr:uid="{00000000-0005-0000-0000-0000580F0000}"/>
    <cellStyle name="Millares 6 7 2" xfId="2368" xr:uid="{00000000-0005-0000-0000-0000590F0000}"/>
    <cellStyle name="Millares 6 7 2 2" xfId="3950" xr:uid="{00000000-0005-0000-0000-00005A0F0000}"/>
    <cellStyle name="Millares 6 7 3" xfId="1577" xr:uid="{00000000-0005-0000-0000-00005B0F0000}"/>
    <cellStyle name="Millares 6 7 4" xfId="3159" xr:uid="{00000000-0005-0000-0000-00005C0F0000}"/>
    <cellStyle name="Millares 6 8" xfId="1974" xr:uid="{00000000-0005-0000-0000-00005D0F0000}"/>
    <cellStyle name="Millares 6 8 2" xfId="3556" xr:uid="{00000000-0005-0000-0000-00005E0F0000}"/>
    <cellStyle name="Millares 6 9" xfId="1183" xr:uid="{00000000-0005-0000-0000-00005F0F0000}"/>
    <cellStyle name="Millares 60" xfId="4339" xr:uid="{00000000-0005-0000-0000-0000600F0000}"/>
    <cellStyle name="Millares 60 2" xfId="4614" xr:uid="{4C2BC9EB-50BF-47BC-9121-8A0C6B017914}"/>
    <cellStyle name="Millares 60 3" xfId="4991" xr:uid="{980DC5F1-33FD-42EF-98CF-F8B520CE1BF1}"/>
    <cellStyle name="Millares 61" xfId="4341" xr:uid="{00000000-0005-0000-0000-0000610F0000}"/>
    <cellStyle name="Millares 61 2" xfId="4795" xr:uid="{94EFAE21-1AF2-4705-95CF-352967B05127}"/>
    <cellStyle name="Millares 61 3" xfId="5095" xr:uid="{2E4E83ED-8A61-4C79-A57F-BAA1562555FF}"/>
    <cellStyle name="Millares 62" xfId="4353" xr:uid="{00000000-0005-0000-0000-0000620F0000}"/>
    <cellStyle name="Millares 62 2" xfId="4893" xr:uid="{ED7A4210-DCDA-4F1A-9281-4771CB6FB37C}"/>
    <cellStyle name="Millares 62 3" xfId="5178" xr:uid="{A810B259-4769-44FB-87F6-398802A2B58D}"/>
    <cellStyle name="Millares 63" xfId="4340" xr:uid="{00000000-0005-0000-0000-0000630F0000}"/>
    <cellStyle name="Millares 64" xfId="4344" xr:uid="{00000000-0005-0000-0000-0000640F0000}"/>
    <cellStyle name="Millares 65" xfId="4351" xr:uid="{00000000-0005-0000-0000-0000650F0000}"/>
    <cellStyle name="Millares 66" xfId="4346" xr:uid="{00000000-0005-0000-0000-0000660F0000}"/>
    <cellStyle name="Millares 67" xfId="4342" xr:uid="{00000000-0005-0000-0000-0000670F0000}"/>
    <cellStyle name="Millares 68" xfId="4352" xr:uid="{00000000-0005-0000-0000-0000680F0000}"/>
    <cellStyle name="Millares 69" xfId="4343" xr:uid="{00000000-0005-0000-0000-0000690F0000}"/>
    <cellStyle name="Millares 7" xfId="310" xr:uid="{00000000-0005-0000-0000-00006A0F0000}"/>
    <cellStyle name="Millares 7 10" xfId="2770" xr:uid="{00000000-0005-0000-0000-00006B0F0000}"/>
    <cellStyle name="Millares 7 11" xfId="4641" xr:uid="{1498F20F-2228-4980-BF5E-33115E9B4ABF}"/>
    <cellStyle name="Millares 7 11 2" xfId="5014" xr:uid="{BF9C17B3-0F78-4A70-9AD1-50D6BDC97111}"/>
    <cellStyle name="Millares 7 12" xfId="4407" xr:uid="{8D7870BA-E834-4038-80D9-CDFB0384912B}"/>
    <cellStyle name="Millares 7 2" xfId="388" xr:uid="{00000000-0005-0000-0000-00006C0F0000}"/>
    <cellStyle name="Millares 7 2 2" xfId="500" xr:uid="{00000000-0005-0000-0000-00006D0F0000}"/>
    <cellStyle name="Millares 7 2 2 2" xfId="728" xr:uid="{00000000-0005-0000-0000-00006E0F0000}"/>
    <cellStyle name="Millares 7 2 2 2 2" xfId="1128" xr:uid="{00000000-0005-0000-0000-00006F0F0000}"/>
    <cellStyle name="Millares 7 2 2 2 2 2" xfId="2711" xr:uid="{00000000-0005-0000-0000-0000700F0000}"/>
    <cellStyle name="Millares 7 2 2 2 2 2 2" xfId="4293" xr:uid="{00000000-0005-0000-0000-0000710F0000}"/>
    <cellStyle name="Millares 7 2 2 2 2 3" xfId="1920" xr:uid="{00000000-0005-0000-0000-0000720F0000}"/>
    <cellStyle name="Millares 7 2 2 2 2 4" xfId="3502" xr:uid="{00000000-0005-0000-0000-0000730F0000}"/>
    <cellStyle name="Millares 7 2 2 2 3" xfId="2317" xr:uid="{00000000-0005-0000-0000-0000740F0000}"/>
    <cellStyle name="Millares 7 2 2 2 3 2" xfId="3899" xr:uid="{00000000-0005-0000-0000-0000750F0000}"/>
    <cellStyle name="Millares 7 2 2 2 4" xfId="1526" xr:uid="{00000000-0005-0000-0000-0000760F0000}"/>
    <cellStyle name="Millares 7 2 2 2 5" xfId="3108" xr:uid="{00000000-0005-0000-0000-0000770F0000}"/>
    <cellStyle name="Millares 7 2 2 3" xfId="907" xr:uid="{00000000-0005-0000-0000-0000780F0000}"/>
    <cellStyle name="Millares 7 2 2 3 2" xfId="2490" xr:uid="{00000000-0005-0000-0000-0000790F0000}"/>
    <cellStyle name="Millares 7 2 2 3 2 2" xfId="4072" xr:uid="{00000000-0005-0000-0000-00007A0F0000}"/>
    <cellStyle name="Millares 7 2 2 3 3" xfId="1699" xr:uid="{00000000-0005-0000-0000-00007B0F0000}"/>
    <cellStyle name="Millares 7 2 2 3 4" xfId="3281" xr:uid="{00000000-0005-0000-0000-00007C0F0000}"/>
    <cellStyle name="Millares 7 2 2 4" xfId="2096" xr:uid="{00000000-0005-0000-0000-00007D0F0000}"/>
    <cellStyle name="Millares 7 2 2 4 2" xfId="3678" xr:uid="{00000000-0005-0000-0000-00007E0F0000}"/>
    <cellStyle name="Millares 7 2 2 5" xfId="1305" xr:uid="{00000000-0005-0000-0000-00007F0F0000}"/>
    <cellStyle name="Millares 7 2 2 6" xfId="2887" xr:uid="{00000000-0005-0000-0000-0000800F0000}"/>
    <cellStyle name="Millares 7 2 3" xfId="577" xr:uid="{00000000-0005-0000-0000-0000810F0000}"/>
    <cellStyle name="Millares 7 2 3 2" xfId="984" xr:uid="{00000000-0005-0000-0000-0000820F0000}"/>
    <cellStyle name="Millares 7 2 3 2 2" xfId="2567" xr:uid="{00000000-0005-0000-0000-0000830F0000}"/>
    <cellStyle name="Millares 7 2 3 2 2 2" xfId="4149" xr:uid="{00000000-0005-0000-0000-0000840F0000}"/>
    <cellStyle name="Millares 7 2 3 2 3" xfId="1776" xr:uid="{00000000-0005-0000-0000-0000850F0000}"/>
    <cellStyle name="Millares 7 2 3 2 4" xfId="3358" xr:uid="{00000000-0005-0000-0000-0000860F0000}"/>
    <cellStyle name="Millares 7 2 3 3" xfId="2173" xr:uid="{00000000-0005-0000-0000-0000870F0000}"/>
    <cellStyle name="Millares 7 2 3 3 2" xfId="3755" xr:uid="{00000000-0005-0000-0000-0000880F0000}"/>
    <cellStyle name="Millares 7 2 3 4" xfId="1382" xr:uid="{00000000-0005-0000-0000-0000890F0000}"/>
    <cellStyle name="Millares 7 2 3 5" xfId="2964" xr:uid="{00000000-0005-0000-0000-00008A0F0000}"/>
    <cellStyle name="Millares 7 2 4" xfId="652" xr:uid="{00000000-0005-0000-0000-00008B0F0000}"/>
    <cellStyle name="Millares 7 2 4 2" xfId="1052" xr:uid="{00000000-0005-0000-0000-00008C0F0000}"/>
    <cellStyle name="Millares 7 2 4 2 2" xfId="2635" xr:uid="{00000000-0005-0000-0000-00008D0F0000}"/>
    <cellStyle name="Millares 7 2 4 2 2 2" xfId="4217" xr:uid="{00000000-0005-0000-0000-00008E0F0000}"/>
    <cellStyle name="Millares 7 2 4 2 3" xfId="1844" xr:uid="{00000000-0005-0000-0000-00008F0F0000}"/>
    <cellStyle name="Millares 7 2 4 2 4" xfId="3426" xr:uid="{00000000-0005-0000-0000-0000900F0000}"/>
    <cellStyle name="Millares 7 2 4 3" xfId="2241" xr:uid="{00000000-0005-0000-0000-0000910F0000}"/>
    <cellStyle name="Millares 7 2 4 3 2" xfId="3823" xr:uid="{00000000-0005-0000-0000-0000920F0000}"/>
    <cellStyle name="Millares 7 2 4 4" xfId="1450" xr:uid="{00000000-0005-0000-0000-0000930F0000}"/>
    <cellStyle name="Millares 7 2 4 5" xfId="3032" xr:uid="{00000000-0005-0000-0000-0000940F0000}"/>
    <cellStyle name="Millares 7 2 5" xfId="831" xr:uid="{00000000-0005-0000-0000-0000950F0000}"/>
    <cellStyle name="Millares 7 2 5 2" xfId="2414" xr:uid="{00000000-0005-0000-0000-0000960F0000}"/>
    <cellStyle name="Millares 7 2 5 2 2" xfId="3996" xr:uid="{00000000-0005-0000-0000-0000970F0000}"/>
    <cellStyle name="Millares 7 2 5 3" xfId="1623" xr:uid="{00000000-0005-0000-0000-0000980F0000}"/>
    <cellStyle name="Millares 7 2 5 4" xfId="3205" xr:uid="{00000000-0005-0000-0000-0000990F0000}"/>
    <cellStyle name="Millares 7 2 6" xfId="2020" xr:uid="{00000000-0005-0000-0000-00009A0F0000}"/>
    <cellStyle name="Millares 7 2 6 2" xfId="3602" xr:uid="{00000000-0005-0000-0000-00009B0F0000}"/>
    <cellStyle name="Millares 7 2 7" xfId="1229" xr:uid="{00000000-0005-0000-0000-00009C0F0000}"/>
    <cellStyle name="Millares 7 2 8" xfId="2811" xr:uid="{00000000-0005-0000-0000-00009D0F0000}"/>
    <cellStyle name="Millares 7 3" xfId="459" xr:uid="{00000000-0005-0000-0000-00009E0F0000}"/>
    <cellStyle name="Millares 7 3 2" xfId="687" xr:uid="{00000000-0005-0000-0000-00009F0F0000}"/>
    <cellStyle name="Millares 7 3 2 2" xfId="1087" xr:uid="{00000000-0005-0000-0000-0000A00F0000}"/>
    <cellStyle name="Millares 7 3 2 2 2" xfId="2670" xr:uid="{00000000-0005-0000-0000-0000A10F0000}"/>
    <cellStyle name="Millares 7 3 2 2 2 2" xfId="4252" xr:uid="{00000000-0005-0000-0000-0000A20F0000}"/>
    <cellStyle name="Millares 7 3 2 2 3" xfId="1879" xr:uid="{00000000-0005-0000-0000-0000A30F0000}"/>
    <cellStyle name="Millares 7 3 2 2 4" xfId="3461" xr:uid="{00000000-0005-0000-0000-0000A40F0000}"/>
    <cellStyle name="Millares 7 3 2 3" xfId="2276" xr:uid="{00000000-0005-0000-0000-0000A50F0000}"/>
    <cellStyle name="Millares 7 3 2 3 2" xfId="3858" xr:uid="{00000000-0005-0000-0000-0000A60F0000}"/>
    <cellStyle name="Millares 7 3 2 4" xfId="1485" xr:uid="{00000000-0005-0000-0000-0000A70F0000}"/>
    <cellStyle name="Millares 7 3 2 5" xfId="3067" xr:uid="{00000000-0005-0000-0000-0000A80F0000}"/>
    <cellStyle name="Millares 7 3 3" xfId="866" xr:uid="{00000000-0005-0000-0000-0000A90F0000}"/>
    <cellStyle name="Millares 7 3 3 2" xfId="2449" xr:uid="{00000000-0005-0000-0000-0000AA0F0000}"/>
    <cellStyle name="Millares 7 3 3 2 2" xfId="4031" xr:uid="{00000000-0005-0000-0000-0000AB0F0000}"/>
    <cellStyle name="Millares 7 3 3 3" xfId="1658" xr:uid="{00000000-0005-0000-0000-0000AC0F0000}"/>
    <cellStyle name="Millares 7 3 3 4" xfId="3240" xr:uid="{00000000-0005-0000-0000-0000AD0F0000}"/>
    <cellStyle name="Millares 7 3 4" xfId="2055" xr:uid="{00000000-0005-0000-0000-0000AE0F0000}"/>
    <cellStyle name="Millares 7 3 4 2" xfId="3637" xr:uid="{00000000-0005-0000-0000-0000AF0F0000}"/>
    <cellStyle name="Millares 7 3 5" xfId="1264" xr:uid="{00000000-0005-0000-0000-0000B00F0000}"/>
    <cellStyle name="Millares 7 3 6" xfId="2846" xr:uid="{00000000-0005-0000-0000-0000B10F0000}"/>
    <cellStyle name="Millares 7 4" xfId="536" xr:uid="{00000000-0005-0000-0000-0000B20F0000}"/>
    <cellStyle name="Millares 7 4 2" xfId="943" xr:uid="{00000000-0005-0000-0000-0000B30F0000}"/>
    <cellStyle name="Millares 7 4 2 2" xfId="2526" xr:uid="{00000000-0005-0000-0000-0000B40F0000}"/>
    <cellStyle name="Millares 7 4 2 2 2" xfId="4108" xr:uid="{00000000-0005-0000-0000-0000B50F0000}"/>
    <cellStyle name="Millares 7 4 2 3" xfId="1735" xr:uid="{00000000-0005-0000-0000-0000B60F0000}"/>
    <cellStyle name="Millares 7 4 2 4" xfId="3317" xr:uid="{00000000-0005-0000-0000-0000B70F0000}"/>
    <cellStyle name="Millares 7 4 3" xfId="2132" xr:uid="{00000000-0005-0000-0000-0000B80F0000}"/>
    <cellStyle name="Millares 7 4 3 2" xfId="3714" xr:uid="{00000000-0005-0000-0000-0000B90F0000}"/>
    <cellStyle name="Millares 7 4 4" xfId="1341" xr:uid="{00000000-0005-0000-0000-0000BA0F0000}"/>
    <cellStyle name="Millares 7 4 5" xfId="2923" xr:uid="{00000000-0005-0000-0000-0000BB0F0000}"/>
    <cellStyle name="Millares 7 5" xfId="611" xr:uid="{00000000-0005-0000-0000-0000BC0F0000}"/>
    <cellStyle name="Millares 7 5 2" xfId="1011" xr:uid="{00000000-0005-0000-0000-0000BD0F0000}"/>
    <cellStyle name="Millares 7 5 2 2" xfId="2594" xr:uid="{00000000-0005-0000-0000-0000BE0F0000}"/>
    <cellStyle name="Millares 7 5 2 2 2" xfId="4176" xr:uid="{00000000-0005-0000-0000-0000BF0F0000}"/>
    <cellStyle name="Millares 7 5 2 3" xfId="1803" xr:uid="{00000000-0005-0000-0000-0000C00F0000}"/>
    <cellStyle name="Millares 7 5 2 4" xfId="3385" xr:uid="{00000000-0005-0000-0000-0000C10F0000}"/>
    <cellStyle name="Millares 7 5 3" xfId="2200" xr:uid="{00000000-0005-0000-0000-0000C20F0000}"/>
    <cellStyle name="Millares 7 5 3 2" xfId="3782" xr:uid="{00000000-0005-0000-0000-0000C30F0000}"/>
    <cellStyle name="Millares 7 5 4" xfId="1409" xr:uid="{00000000-0005-0000-0000-0000C40F0000}"/>
    <cellStyle name="Millares 7 5 5" xfId="2991" xr:uid="{00000000-0005-0000-0000-0000C50F0000}"/>
    <cellStyle name="Millares 7 6" xfId="763" xr:uid="{00000000-0005-0000-0000-0000C60F0000}"/>
    <cellStyle name="Millares 7 6 2" xfId="1163" xr:uid="{00000000-0005-0000-0000-0000C70F0000}"/>
    <cellStyle name="Millares 7 6 2 2" xfId="2746" xr:uid="{00000000-0005-0000-0000-0000C80F0000}"/>
    <cellStyle name="Millares 7 6 2 2 2" xfId="4328" xr:uid="{00000000-0005-0000-0000-0000C90F0000}"/>
    <cellStyle name="Millares 7 6 2 3" xfId="1955" xr:uid="{00000000-0005-0000-0000-0000CA0F0000}"/>
    <cellStyle name="Millares 7 6 2 4" xfId="3537" xr:uid="{00000000-0005-0000-0000-0000CB0F0000}"/>
    <cellStyle name="Millares 7 6 3" xfId="2352" xr:uid="{00000000-0005-0000-0000-0000CC0F0000}"/>
    <cellStyle name="Millares 7 6 3 2" xfId="3934" xr:uid="{00000000-0005-0000-0000-0000CD0F0000}"/>
    <cellStyle name="Millares 7 6 4" xfId="1561" xr:uid="{00000000-0005-0000-0000-0000CE0F0000}"/>
    <cellStyle name="Millares 7 6 5" xfId="3143" xr:uid="{00000000-0005-0000-0000-0000CF0F0000}"/>
    <cellStyle name="Millares 7 7" xfId="790" xr:uid="{00000000-0005-0000-0000-0000D00F0000}"/>
    <cellStyle name="Millares 7 7 2" xfId="2373" xr:uid="{00000000-0005-0000-0000-0000D10F0000}"/>
    <cellStyle name="Millares 7 7 2 2" xfId="3955" xr:uid="{00000000-0005-0000-0000-0000D20F0000}"/>
    <cellStyle name="Millares 7 7 3" xfId="1582" xr:uid="{00000000-0005-0000-0000-0000D30F0000}"/>
    <cellStyle name="Millares 7 7 4" xfId="3164" xr:uid="{00000000-0005-0000-0000-0000D40F0000}"/>
    <cellStyle name="Millares 7 8" xfId="1979" xr:uid="{00000000-0005-0000-0000-0000D50F0000}"/>
    <cellStyle name="Millares 7 8 2" xfId="3561" xr:uid="{00000000-0005-0000-0000-0000D60F0000}"/>
    <cellStyle name="Millares 7 9" xfId="1188" xr:uid="{00000000-0005-0000-0000-0000D70F0000}"/>
    <cellStyle name="Millares 70" xfId="4349" xr:uid="{00000000-0005-0000-0000-0000D80F0000}"/>
    <cellStyle name="Millares 71" xfId="4348" xr:uid="{00000000-0005-0000-0000-0000D90F0000}"/>
    <cellStyle name="Millares 72" xfId="4345" xr:uid="{00000000-0005-0000-0000-0000DA0F0000}"/>
    <cellStyle name="Millares 73" xfId="4347" xr:uid="{00000000-0005-0000-0000-0000DB0F0000}"/>
    <cellStyle name="Millares 74" xfId="4350" xr:uid="{00000000-0005-0000-0000-0000DC0F0000}"/>
    <cellStyle name="Millares 8" xfId="303" xr:uid="{00000000-0005-0000-0000-0000DD0F0000}"/>
    <cellStyle name="Millares 8 10" xfId="2766" xr:uid="{00000000-0005-0000-0000-0000DE0F0000}"/>
    <cellStyle name="Millares 8 11" xfId="4640" xr:uid="{62E3C53F-4194-4E52-9E78-5C632DB8CA19}"/>
    <cellStyle name="Millares 8 11 2" xfId="5013" xr:uid="{4324CCAB-8A54-464F-B101-FF2CD378D72C}"/>
    <cellStyle name="Millares 8 12" xfId="4406" xr:uid="{96DC1C03-7A97-46E6-B743-3731F1573FFD}"/>
    <cellStyle name="Millares 8 2" xfId="381" xr:uid="{00000000-0005-0000-0000-0000DF0F0000}"/>
    <cellStyle name="Millares 8 2 2" xfId="496" xr:uid="{00000000-0005-0000-0000-0000E00F0000}"/>
    <cellStyle name="Millares 8 2 2 2" xfId="724" xr:uid="{00000000-0005-0000-0000-0000E10F0000}"/>
    <cellStyle name="Millares 8 2 2 2 2" xfId="1124" xr:uid="{00000000-0005-0000-0000-0000E20F0000}"/>
    <cellStyle name="Millares 8 2 2 2 2 2" xfId="2707" xr:uid="{00000000-0005-0000-0000-0000E30F0000}"/>
    <cellStyle name="Millares 8 2 2 2 2 2 2" xfId="4289" xr:uid="{00000000-0005-0000-0000-0000E40F0000}"/>
    <cellStyle name="Millares 8 2 2 2 2 3" xfId="1916" xr:uid="{00000000-0005-0000-0000-0000E50F0000}"/>
    <cellStyle name="Millares 8 2 2 2 2 4" xfId="3498" xr:uid="{00000000-0005-0000-0000-0000E60F0000}"/>
    <cellStyle name="Millares 8 2 2 2 3" xfId="2313" xr:uid="{00000000-0005-0000-0000-0000E70F0000}"/>
    <cellStyle name="Millares 8 2 2 2 3 2" xfId="3895" xr:uid="{00000000-0005-0000-0000-0000E80F0000}"/>
    <cellStyle name="Millares 8 2 2 2 4" xfId="1522" xr:uid="{00000000-0005-0000-0000-0000E90F0000}"/>
    <cellStyle name="Millares 8 2 2 2 5" xfId="3104" xr:uid="{00000000-0005-0000-0000-0000EA0F0000}"/>
    <cellStyle name="Millares 8 2 2 3" xfId="903" xr:uid="{00000000-0005-0000-0000-0000EB0F0000}"/>
    <cellStyle name="Millares 8 2 2 3 2" xfId="2486" xr:uid="{00000000-0005-0000-0000-0000EC0F0000}"/>
    <cellStyle name="Millares 8 2 2 3 2 2" xfId="4068" xr:uid="{00000000-0005-0000-0000-0000ED0F0000}"/>
    <cellStyle name="Millares 8 2 2 3 3" xfId="1695" xr:uid="{00000000-0005-0000-0000-0000EE0F0000}"/>
    <cellStyle name="Millares 8 2 2 3 4" xfId="3277" xr:uid="{00000000-0005-0000-0000-0000EF0F0000}"/>
    <cellStyle name="Millares 8 2 2 4" xfId="2092" xr:uid="{00000000-0005-0000-0000-0000F00F0000}"/>
    <cellStyle name="Millares 8 2 2 4 2" xfId="3674" xr:uid="{00000000-0005-0000-0000-0000F10F0000}"/>
    <cellStyle name="Millares 8 2 2 5" xfId="1301" xr:uid="{00000000-0005-0000-0000-0000F20F0000}"/>
    <cellStyle name="Millares 8 2 2 6" xfId="2883" xr:uid="{00000000-0005-0000-0000-0000F30F0000}"/>
    <cellStyle name="Millares 8 2 3" xfId="573" xr:uid="{00000000-0005-0000-0000-0000F40F0000}"/>
    <cellStyle name="Millares 8 2 3 2" xfId="980" xr:uid="{00000000-0005-0000-0000-0000F50F0000}"/>
    <cellStyle name="Millares 8 2 3 2 2" xfId="2563" xr:uid="{00000000-0005-0000-0000-0000F60F0000}"/>
    <cellStyle name="Millares 8 2 3 2 2 2" xfId="4145" xr:uid="{00000000-0005-0000-0000-0000F70F0000}"/>
    <cellStyle name="Millares 8 2 3 2 3" xfId="1772" xr:uid="{00000000-0005-0000-0000-0000F80F0000}"/>
    <cellStyle name="Millares 8 2 3 2 4" xfId="3354" xr:uid="{00000000-0005-0000-0000-0000F90F0000}"/>
    <cellStyle name="Millares 8 2 3 3" xfId="2169" xr:uid="{00000000-0005-0000-0000-0000FA0F0000}"/>
    <cellStyle name="Millares 8 2 3 3 2" xfId="3751" xr:uid="{00000000-0005-0000-0000-0000FB0F0000}"/>
    <cellStyle name="Millares 8 2 3 4" xfId="1378" xr:uid="{00000000-0005-0000-0000-0000FC0F0000}"/>
    <cellStyle name="Millares 8 2 3 5" xfId="2960" xr:uid="{00000000-0005-0000-0000-0000FD0F0000}"/>
    <cellStyle name="Millares 8 2 4" xfId="648" xr:uid="{00000000-0005-0000-0000-0000FE0F0000}"/>
    <cellStyle name="Millares 8 2 4 2" xfId="1048" xr:uid="{00000000-0005-0000-0000-0000FF0F0000}"/>
    <cellStyle name="Millares 8 2 4 2 2" xfId="2631" xr:uid="{00000000-0005-0000-0000-000000100000}"/>
    <cellStyle name="Millares 8 2 4 2 2 2" xfId="4213" xr:uid="{00000000-0005-0000-0000-000001100000}"/>
    <cellStyle name="Millares 8 2 4 2 3" xfId="1840" xr:uid="{00000000-0005-0000-0000-000002100000}"/>
    <cellStyle name="Millares 8 2 4 2 4" xfId="3422" xr:uid="{00000000-0005-0000-0000-000003100000}"/>
    <cellStyle name="Millares 8 2 4 3" xfId="2237" xr:uid="{00000000-0005-0000-0000-000004100000}"/>
    <cellStyle name="Millares 8 2 4 3 2" xfId="3819" xr:uid="{00000000-0005-0000-0000-000005100000}"/>
    <cellStyle name="Millares 8 2 4 4" xfId="1446" xr:uid="{00000000-0005-0000-0000-000006100000}"/>
    <cellStyle name="Millares 8 2 4 5" xfId="3028" xr:uid="{00000000-0005-0000-0000-000007100000}"/>
    <cellStyle name="Millares 8 2 5" xfId="827" xr:uid="{00000000-0005-0000-0000-000008100000}"/>
    <cellStyle name="Millares 8 2 5 2" xfId="2410" xr:uid="{00000000-0005-0000-0000-000009100000}"/>
    <cellStyle name="Millares 8 2 5 2 2" xfId="3992" xr:uid="{00000000-0005-0000-0000-00000A100000}"/>
    <cellStyle name="Millares 8 2 5 3" xfId="1619" xr:uid="{00000000-0005-0000-0000-00000B100000}"/>
    <cellStyle name="Millares 8 2 5 4" xfId="3201" xr:uid="{00000000-0005-0000-0000-00000C100000}"/>
    <cellStyle name="Millares 8 2 6" xfId="2016" xr:uid="{00000000-0005-0000-0000-00000D100000}"/>
    <cellStyle name="Millares 8 2 6 2" xfId="3598" xr:uid="{00000000-0005-0000-0000-00000E100000}"/>
    <cellStyle name="Millares 8 2 7" xfId="1225" xr:uid="{00000000-0005-0000-0000-00000F100000}"/>
    <cellStyle name="Millares 8 2 8" xfId="2807" xr:uid="{00000000-0005-0000-0000-000010100000}"/>
    <cellStyle name="Millares 8 3" xfId="455" xr:uid="{00000000-0005-0000-0000-000011100000}"/>
    <cellStyle name="Millares 8 3 2" xfId="683" xr:uid="{00000000-0005-0000-0000-000012100000}"/>
    <cellStyle name="Millares 8 3 2 2" xfId="1083" xr:uid="{00000000-0005-0000-0000-000013100000}"/>
    <cellStyle name="Millares 8 3 2 2 2" xfId="2666" xr:uid="{00000000-0005-0000-0000-000014100000}"/>
    <cellStyle name="Millares 8 3 2 2 2 2" xfId="4248" xr:uid="{00000000-0005-0000-0000-000015100000}"/>
    <cellStyle name="Millares 8 3 2 2 3" xfId="1875" xr:uid="{00000000-0005-0000-0000-000016100000}"/>
    <cellStyle name="Millares 8 3 2 2 4" xfId="3457" xr:uid="{00000000-0005-0000-0000-000017100000}"/>
    <cellStyle name="Millares 8 3 2 3" xfId="2272" xr:uid="{00000000-0005-0000-0000-000018100000}"/>
    <cellStyle name="Millares 8 3 2 3 2" xfId="3854" xr:uid="{00000000-0005-0000-0000-000019100000}"/>
    <cellStyle name="Millares 8 3 2 4" xfId="1481" xr:uid="{00000000-0005-0000-0000-00001A100000}"/>
    <cellStyle name="Millares 8 3 2 5" xfId="3063" xr:uid="{00000000-0005-0000-0000-00001B100000}"/>
    <cellStyle name="Millares 8 3 3" xfId="862" xr:uid="{00000000-0005-0000-0000-00001C100000}"/>
    <cellStyle name="Millares 8 3 3 2" xfId="2445" xr:uid="{00000000-0005-0000-0000-00001D100000}"/>
    <cellStyle name="Millares 8 3 3 2 2" xfId="4027" xr:uid="{00000000-0005-0000-0000-00001E100000}"/>
    <cellStyle name="Millares 8 3 3 3" xfId="1654" xr:uid="{00000000-0005-0000-0000-00001F100000}"/>
    <cellStyle name="Millares 8 3 3 4" xfId="3236" xr:uid="{00000000-0005-0000-0000-000020100000}"/>
    <cellStyle name="Millares 8 3 4" xfId="2051" xr:uid="{00000000-0005-0000-0000-000021100000}"/>
    <cellStyle name="Millares 8 3 4 2" xfId="3633" xr:uid="{00000000-0005-0000-0000-000022100000}"/>
    <cellStyle name="Millares 8 3 5" xfId="1260" xr:uid="{00000000-0005-0000-0000-000023100000}"/>
    <cellStyle name="Millares 8 3 6" xfId="2842" xr:uid="{00000000-0005-0000-0000-000024100000}"/>
    <cellStyle name="Millares 8 4" xfId="532" xr:uid="{00000000-0005-0000-0000-000025100000}"/>
    <cellStyle name="Millares 8 4 2" xfId="939" xr:uid="{00000000-0005-0000-0000-000026100000}"/>
    <cellStyle name="Millares 8 4 2 2" xfId="2522" xr:uid="{00000000-0005-0000-0000-000027100000}"/>
    <cellStyle name="Millares 8 4 2 2 2" xfId="4104" xr:uid="{00000000-0005-0000-0000-000028100000}"/>
    <cellStyle name="Millares 8 4 2 3" xfId="1731" xr:uid="{00000000-0005-0000-0000-000029100000}"/>
    <cellStyle name="Millares 8 4 2 4" xfId="3313" xr:uid="{00000000-0005-0000-0000-00002A100000}"/>
    <cellStyle name="Millares 8 4 3" xfId="2128" xr:uid="{00000000-0005-0000-0000-00002B100000}"/>
    <cellStyle name="Millares 8 4 3 2" xfId="3710" xr:uid="{00000000-0005-0000-0000-00002C100000}"/>
    <cellStyle name="Millares 8 4 4" xfId="1337" xr:uid="{00000000-0005-0000-0000-00002D100000}"/>
    <cellStyle name="Millares 8 4 5" xfId="2919" xr:uid="{00000000-0005-0000-0000-00002E100000}"/>
    <cellStyle name="Millares 8 5" xfId="607" xr:uid="{00000000-0005-0000-0000-00002F100000}"/>
    <cellStyle name="Millares 8 5 2" xfId="1007" xr:uid="{00000000-0005-0000-0000-000030100000}"/>
    <cellStyle name="Millares 8 5 2 2" xfId="2590" xr:uid="{00000000-0005-0000-0000-000031100000}"/>
    <cellStyle name="Millares 8 5 2 2 2" xfId="4172" xr:uid="{00000000-0005-0000-0000-000032100000}"/>
    <cellStyle name="Millares 8 5 2 3" xfId="1799" xr:uid="{00000000-0005-0000-0000-000033100000}"/>
    <cellStyle name="Millares 8 5 2 4" xfId="3381" xr:uid="{00000000-0005-0000-0000-000034100000}"/>
    <cellStyle name="Millares 8 5 3" xfId="2196" xr:uid="{00000000-0005-0000-0000-000035100000}"/>
    <cellStyle name="Millares 8 5 3 2" xfId="3778" xr:uid="{00000000-0005-0000-0000-000036100000}"/>
    <cellStyle name="Millares 8 5 4" xfId="1405" xr:uid="{00000000-0005-0000-0000-000037100000}"/>
    <cellStyle name="Millares 8 5 5" xfId="2987" xr:uid="{00000000-0005-0000-0000-000038100000}"/>
    <cellStyle name="Millares 8 6" xfId="759" xr:uid="{00000000-0005-0000-0000-000039100000}"/>
    <cellStyle name="Millares 8 6 2" xfId="1159" xr:uid="{00000000-0005-0000-0000-00003A100000}"/>
    <cellStyle name="Millares 8 6 2 2" xfId="2742" xr:uid="{00000000-0005-0000-0000-00003B100000}"/>
    <cellStyle name="Millares 8 6 2 2 2" xfId="4324" xr:uid="{00000000-0005-0000-0000-00003C100000}"/>
    <cellStyle name="Millares 8 6 2 3" xfId="1951" xr:uid="{00000000-0005-0000-0000-00003D100000}"/>
    <cellStyle name="Millares 8 6 2 4" xfId="3533" xr:uid="{00000000-0005-0000-0000-00003E100000}"/>
    <cellStyle name="Millares 8 6 3" xfId="2348" xr:uid="{00000000-0005-0000-0000-00003F100000}"/>
    <cellStyle name="Millares 8 6 3 2" xfId="3930" xr:uid="{00000000-0005-0000-0000-000040100000}"/>
    <cellStyle name="Millares 8 6 4" xfId="1557" xr:uid="{00000000-0005-0000-0000-000041100000}"/>
    <cellStyle name="Millares 8 6 5" xfId="3139" xr:uid="{00000000-0005-0000-0000-000042100000}"/>
    <cellStyle name="Millares 8 7" xfId="786" xr:uid="{00000000-0005-0000-0000-000043100000}"/>
    <cellStyle name="Millares 8 7 2" xfId="2369" xr:uid="{00000000-0005-0000-0000-000044100000}"/>
    <cellStyle name="Millares 8 7 2 2" xfId="3951" xr:uid="{00000000-0005-0000-0000-000045100000}"/>
    <cellStyle name="Millares 8 7 3" xfId="1578" xr:uid="{00000000-0005-0000-0000-000046100000}"/>
    <cellStyle name="Millares 8 7 4" xfId="3160" xr:uid="{00000000-0005-0000-0000-000047100000}"/>
    <cellStyle name="Millares 8 8" xfId="1975" xr:uid="{00000000-0005-0000-0000-000048100000}"/>
    <cellStyle name="Millares 8 8 2" xfId="3557" xr:uid="{00000000-0005-0000-0000-000049100000}"/>
    <cellStyle name="Millares 8 9" xfId="1184" xr:uid="{00000000-0005-0000-0000-00004A100000}"/>
    <cellStyle name="Millares 9" xfId="309" xr:uid="{00000000-0005-0000-0000-00004B100000}"/>
    <cellStyle name="Millares 9 10" xfId="2769" xr:uid="{00000000-0005-0000-0000-00004C100000}"/>
    <cellStyle name="Millares 9 11" xfId="4653" xr:uid="{6FE05987-647F-43E3-83E6-D2B54D6731E2}"/>
    <cellStyle name="Millares 9 11 2" xfId="5026" xr:uid="{E0C42164-0B0D-455C-AFF8-6A9D4E73F537}"/>
    <cellStyle name="Millares 9 12" xfId="4422" xr:uid="{EEDA6790-0A87-4592-B7AC-E339F53D363E}"/>
    <cellStyle name="Millares 9 2" xfId="387" xr:uid="{00000000-0005-0000-0000-00004D100000}"/>
    <cellStyle name="Millares 9 2 2" xfId="499" xr:uid="{00000000-0005-0000-0000-00004E100000}"/>
    <cellStyle name="Millares 9 2 2 2" xfId="727" xr:uid="{00000000-0005-0000-0000-00004F100000}"/>
    <cellStyle name="Millares 9 2 2 2 2" xfId="1127" xr:uid="{00000000-0005-0000-0000-000050100000}"/>
    <cellStyle name="Millares 9 2 2 2 2 2" xfId="2710" xr:uid="{00000000-0005-0000-0000-000051100000}"/>
    <cellStyle name="Millares 9 2 2 2 2 2 2" xfId="4292" xr:uid="{00000000-0005-0000-0000-000052100000}"/>
    <cellStyle name="Millares 9 2 2 2 2 3" xfId="1919" xr:uid="{00000000-0005-0000-0000-000053100000}"/>
    <cellStyle name="Millares 9 2 2 2 2 4" xfId="3501" xr:uid="{00000000-0005-0000-0000-000054100000}"/>
    <cellStyle name="Millares 9 2 2 2 3" xfId="2316" xr:uid="{00000000-0005-0000-0000-000055100000}"/>
    <cellStyle name="Millares 9 2 2 2 3 2" xfId="3898" xr:uid="{00000000-0005-0000-0000-000056100000}"/>
    <cellStyle name="Millares 9 2 2 2 4" xfId="1525" xr:uid="{00000000-0005-0000-0000-000057100000}"/>
    <cellStyle name="Millares 9 2 2 2 5" xfId="3107" xr:uid="{00000000-0005-0000-0000-000058100000}"/>
    <cellStyle name="Millares 9 2 2 3" xfId="906" xr:uid="{00000000-0005-0000-0000-000059100000}"/>
    <cellStyle name="Millares 9 2 2 3 2" xfId="2489" xr:uid="{00000000-0005-0000-0000-00005A100000}"/>
    <cellStyle name="Millares 9 2 2 3 2 2" xfId="4071" xr:uid="{00000000-0005-0000-0000-00005B100000}"/>
    <cellStyle name="Millares 9 2 2 3 3" xfId="1698" xr:uid="{00000000-0005-0000-0000-00005C100000}"/>
    <cellStyle name="Millares 9 2 2 3 4" xfId="3280" xr:uid="{00000000-0005-0000-0000-00005D100000}"/>
    <cellStyle name="Millares 9 2 2 4" xfId="2095" xr:uid="{00000000-0005-0000-0000-00005E100000}"/>
    <cellStyle name="Millares 9 2 2 4 2" xfId="3677" xr:uid="{00000000-0005-0000-0000-00005F100000}"/>
    <cellStyle name="Millares 9 2 2 5" xfId="1304" xr:uid="{00000000-0005-0000-0000-000060100000}"/>
    <cellStyle name="Millares 9 2 2 6" xfId="2886" xr:uid="{00000000-0005-0000-0000-000061100000}"/>
    <cellStyle name="Millares 9 2 3" xfId="576" xr:uid="{00000000-0005-0000-0000-000062100000}"/>
    <cellStyle name="Millares 9 2 3 2" xfId="983" xr:uid="{00000000-0005-0000-0000-000063100000}"/>
    <cellStyle name="Millares 9 2 3 2 2" xfId="2566" xr:uid="{00000000-0005-0000-0000-000064100000}"/>
    <cellStyle name="Millares 9 2 3 2 2 2" xfId="4148" xr:uid="{00000000-0005-0000-0000-000065100000}"/>
    <cellStyle name="Millares 9 2 3 2 3" xfId="1775" xr:uid="{00000000-0005-0000-0000-000066100000}"/>
    <cellStyle name="Millares 9 2 3 2 4" xfId="3357" xr:uid="{00000000-0005-0000-0000-000067100000}"/>
    <cellStyle name="Millares 9 2 3 3" xfId="2172" xr:uid="{00000000-0005-0000-0000-000068100000}"/>
    <cellStyle name="Millares 9 2 3 3 2" xfId="3754" xr:uid="{00000000-0005-0000-0000-000069100000}"/>
    <cellStyle name="Millares 9 2 3 4" xfId="1381" xr:uid="{00000000-0005-0000-0000-00006A100000}"/>
    <cellStyle name="Millares 9 2 3 5" xfId="2963" xr:uid="{00000000-0005-0000-0000-00006B100000}"/>
    <cellStyle name="Millares 9 2 4" xfId="651" xr:uid="{00000000-0005-0000-0000-00006C100000}"/>
    <cellStyle name="Millares 9 2 4 2" xfId="1051" xr:uid="{00000000-0005-0000-0000-00006D100000}"/>
    <cellStyle name="Millares 9 2 4 2 2" xfId="2634" xr:uid="{00000000-0005-0000-0000-00006E100000}"/>
    <cellStyle name="Millares 9 2 4 2 2 2" xfId="4216" xr:uid="{00000000-0005-0000-0000-00006F100000}"/>
    <cellStyle name="Millares 9 2 4 2 3" xfId="1843" xr:uid="{00000000-0005-0000-0000-000070100000}"/>
    <cellStyle name="Millares 9 2 4 2 4" xfId="3425" xr:uid="{00000000-0005-0000-0000-000071100000}"/>
    <cellStyle name="Millares 9 2 4 3" xfId="2240" xr:uid="{00000000-0005-0000-0000-000072100000}"/>
    <cellStyle name="Millares 9 2 4 3 2" xfId="3822" xr:uid="{00000000-0005-0000-0000-000073100000}"/>
    <cellStyle name="Millares 9 2 4 4" xfId="1449" xr:uid="{00000000-0005-0000-0000-000074100000}"/>
    <cellStyle name="Millares 9 2 4 5" xfId="3031" xr:uid="{00000000-0005-0000-0000-000075100000}"/>
    <cellStyle name="Millares 9 2 5" xfId="830" xr:uid="{00000000-0005-0000-0000-000076100000}"/>
    <cellStyle name="Millares 9 2 5 2" xfId="2413" xr:uid="{00000000-0005-0000-0000-000077100000}"/>
    <cellStyle name="Millares 9 2 5 2 2" xfId="3995" xr:uid="{00000000-0005-0000-0000-000078100000}"/>
    <cellStyle name="Millares 9 2 5 3" xfId="1622" xr:uid="{00000000-0005-0000-0000-000079100000}"/>
    <cellStyle name="Millares 9 2 5 4" xfId="3204" xr:uid="{00000000-0005-0000-0000-00007A100000}"/>
    <cellStyle name="Millares 9 2 6" xfId="2019" xr:uid="{00000000-0005-0000-0000-00007B100000}"/>
    <cellStyle name="Millares 9 2 6 2" xfId="3601" xr:uid="{00000000-0005-0000-0000-00007C100000}"/>
    <cellStyle name="Millares 9 2 7" xfId="1228" xr:uid="{00000000-0005-0000-0000-00007D100000}"/>
    <cellStyle name="Millares 9 2 8" xfId="2810" xr:uid="{00000000-0005-0000-0000-00007E100000}"/>
    <cellStyle name="Millares 9 3" xfId="458" xr:uid="{00000000-0005-0000-0000-00007F100000}"/>
    <cellStyle name="Millares 9 3 2" xfId="686" xr:uid="{00000000-0005-0000-0000-000080100000}"/>
    <cellStyle name="Millares 9 3 2 2" xfId="1086" xr:uid="{00000000-0005-0000-0000-000081100000}"/>
    <cellStyle name="Millares 9 3 2 2 2" xfId="2669" xr:uid="{00000000-0005-0000-0000-000082100000}"/>
    <cellStyle name="Millares 9 3 2 2 2 2" xfId="4251" xr:uid="{00000000-0005-0000-0000-000083100000}"/>
    <cellStyle name="Millares 9 3 2 2 3" xfId="1878" xr:uid="{00000000-0005-0000-0000-000084100000}"/>
    <cellStyle name="Millares 9 3 2 2 4" xfId="3460" xr:uid="{00000000-0005-0000-0000-000085100000}"/>
    <cellStyle name="Millares 9 3 2 3" xfId="2275" xr:uid="{00000000-0005-0000-0000-000086100000}"/>
    <cellStyle name="Millares 9 3 2 3 2" xfId="3857" xr:uid="{00000000-0005-0000-0000-000087100000}"/>
    <cellStyle name="Millares 9 3 2 4" xfId="1484" xr:uid="{00000000-0005-0000-0000-000088100000}"/>
    <cellStyle name="Millares 9 3 2 5" xfId="3066" xr:uid="{00000000-0005-0000-0000-000089100000}"/>
    <cellStyle name="Millares 9 3 3" xfId="865" xr:uid="{00000000-0005-0000-0000-00008A100000}"/>
    <cellStyle name="Millares 9 3 3 2" xfId="2448" xr:uid="{00000000-0005-0000-0000-00008B100000}"/>
    <cellStyle name="Millares 9 3 3 2 2" xfId="4030" xr:uid="{00000000-0005-0000-0000-00008C100000}"/>
    <cellStyle name="Millares 9 3 3 3" xfId="1657" xr:uid="{00000000-0005-0000-0000-00008D100000}"/>
    <cellStyle name="Millares 9 3 3 4" xfId="3239" xr:uid="{00000000-0005-0000-0000-00008E100000}"/>
    <cellStyle name="Millares 9 3 4" xfId="2054" xr:uid="{00000000-0005-0000-0000-00008F100000}"/>
    <cellStyle name="Millares 9 3 4 2" xfId="3636" xr:uid="{00000000-0005-0000-0000-000090100000}"/>
    <cellStyle name="Millares 9 3 5" xfId="1263" xr:uid="{00000000-0005-0000-0000-000091100000}"/>
    <cellStyle name="Millares 9 3 6" xfId="2845" xr:uid="{00000000-0005-0000-0000-000092100000}"/>
    <cellStyle name="Millares 9 4" xfId="535" xr:uid="{00000000-0005-0000-0000-000093100000}"/>
    <cellStyle name="Millares 9 4 2" xfId="942" xr:uid="{00000000-0005-0000-0000-000094100000}"/>
    <cellStyle name="Millares 9 4 2 2" xfId="2525" xr:uid="{00000000-0005-0000-0000-000095100000}"/>
    <cellStyle name="Millares 9 4 2 2 2" xfId="4107" xr:uid="{00000000-0005-0000-0000-000096100000}"/>
    <cellStyle name="Millares 9 4 2 3" xfId="1734" xr:uid="{00000000-0005-0000-0000-000097100000}"/>
    <cellStyle name="Millares 9 4 2 4" xfId="3316" xr:uid="{00000000-0005-0000-0000-000098100000}"/>
    <cellStyle name="Millares 9 4 3" xfId="2131" xr:uid="{00000000-0005-0000-0000-000099100000}"/>
    <cellStyle name="Millares 9 4 3 2" xfId="3713" xr:uid="{00000000-0005-0000-0000-00009A100000}"/>
    <cellStyle name="Millares 9 4 4" xfId="1340" xr:uid="{00000000-0005-0000-0000-00009B100000}"/>
    <cellStyle name="Millares 9 4 5" xfId="2922" xr:uid="{00000000-0005-0000-0000-00009C100000}"/>
    <cellStyle name="Millares 9 5" xfId="610" xr:uid="{00000000-0005-0000-0000-00009D100000}"/>
    <cellStyle name="Millares 9 5 2" xfId="1010" xr:uid="{00000000-0005-0000-0000-00009E100000}"/>
    <cellStyle name="Millares 9 5 2 2" xfId="2593" xr:uid="{00000000-0005-0000-0000-00009F100000}"/>
    <cellStyle name="Millares 9 5 2 2 2" xfId="4175" xr:uid="{00000000-0005-0000-0000-0000A0100000}"/>
    <cellStyle name="Millares 9 5 2 3" xfId="1802" xr:uid="{00000000-0005-0000-0000-0000A1100000}"/>
    <cellStyle name="Millares 9 5 2 4" xfId="3384" xr:uid="{00000000-0005-0000-0000-0000A2100000}"/>
    <cellStyle name="Millares 9 5 3" xfId="2199" xr:uid="{00000000-0005-0000-0000-0000A3100000}"/>
    <cellStyle name="Millares 9 5 3 2" xfId="3781" xr:uid="{00000000-0005-0000-0000-0000A4100000}"/>
    <cellStyle name="Millares 9 5 4" xfId="1408" xr:uid="{00000000-0005-0000-0000-0000A5100000}"/>
    <cellStyle name="Millares 9 5 5" xfId="2990" xr:uid="{00000000-0005-0000-0000-0000A6100000}"/>
    <cellStyle name="Millares 9 6" xfId="762" xr:uid="{00000000-0005-0000-0000-0000A7100000}"/>
    <cellStyle name="Millares 9 6 2" xfId="1162" xr:uid="{00000000-0005-0000-0000-0000A8100000}"/>
    <cellStyle name="Millares 9 6 2 2" xfId="2745" xr:uid="{00000000-0005-0000-0000-0000A9100000}"/>
    <cellStyle name="Millares 9 6 2 2 2" xfId="4327" xr:uid="{00000000-0005-0000-0000-0000AA100000}"/>
    <cellStyle name="Millares 9 6 2 3" xfId="1954" xr:uid="{00000000-0005-0000-0000-0000AB100000}"/>
    <cellStyle name="Millares 9 6 2 4" xfId="3536" xr:uid="{00000000-0005-0000-0000-0000AC100000}"/>
    <cellStyle name="Millares 9 6 3" xfId="2351" xr:uid="{00000000-0005-0000-0000-0000AD100000}"/>
    <cellStyle name="Millares 9 6 3 2" xfId="3933" xr:uid="{00000000-0005-0000-0000-0000AE100000}"/>
    <cellStyle name="Millares 9 6 4" xfId="1560" xr:uid="{00000000-0005-0000-0000-0000AF100000}"/>
    <cellStyle name="Millares 9 6 5" xfId="3142" xr:uid="{00000000-0005-0000-0000-0000B0100000}"/>
    <cellStyle name="Millares 9 7" xfId="789" xr:uid="{00000000-0005-0000-0000-0000B1100000}"/>
    <cellStyle name="Millares 9 7 2" xfId="2372" xr:uid="{00000000-0005-0000-0000-0000B2100000}"/>
    <cellStyle name="Millares 9 7 2 2" xfId="3954" xr:uid="{00000000-0005-0000-0000-0000B3100000}"/>
    <cellStyle name="Millares 9 7 3" xfId="1581" xr:uid="{00000000-0005-0000-0000-0000B4100000}"/>
    <cellStyle name="Millares 9 7 4" xfId="3163" xr:uid="{00000000-0005-0000-0000-0000B5100000}"/>
    <cellStyle name="Millares 9 8" xfId="1978" xr:uid="{00000000-0005-0000-0000-0000B6100000}"/>
    <cellStyle name="Millares 9 8 2" xfId="3560" xr:uid="{00000000-0005-0000-0000-0000B7100000}"/>
    <cellStyle name="Millares 9 9" xfId="1187" xr:uid="{00000000-0005-0000-0000-0000B8100000}"/>
    <cellStyle name="Moneda [0] 2" xfId="4609" xr:uid="{8A811AEB-040B-45F5-9423-1AF1C878F8F0}"/>
    <cellStyle name="Moneda [0] 2 2" xfId="4799" xr:uid="{53FCFBF5-1D8C-420D-B3DF-FDC6E1346304}"/>
    <cellStyle name="Moneda [0] 2 2 2" xfId="5098" xr:uid="{717CB445-0DC8-45E9-A04E-8E17FDD060ED}"/>
    <cellStyle name="Moneda [0] 2 3" xfId="4894" xr:uid="{9A296AAE-03F0-4532-AB70-201268F1F915}"/>
    <cellStyle name="Moneda [0] 2 3 2" xfId="5179" xr:uid="{DA76DEFB-55C7-4163-B4C2-7A8EF77FE25A}"/>
    <cellStyle name="Moneda [0] 2 4" xfId="4987" xr:uid="{DFDD8CD0-BC11-49AD-80F6-A62CDEE7A7B4}"/>
    <cellStyle name="Moneda [0] 3" xfId="4798" xr:uid="{D138809F-8A97-4C93-BAAB-22EF1128E54D}"/>
    <cellStyle name="Moneda [0] 3 2" xfId="5097" xr:uid="{D897CE4C-3427-4577-BF31-92FC0731B201}"/>
    <cellStyle name="Moneda [0] 4" xfId="4895" xr:uid="{3FAE3CCC-7345-4EE2-90B9-533377DE3F15}"/>
    <cellStyle name="Moneda [0] 4 2" xfId="5180" xr:uid="{BE5AF9DF-CBD8-4A6E-8651-51D52D477C3D}"/>
    <cellStyle name="Moneda0" xfId="214" xr:uid="{00000000-0005-0000-0000-0000B9100000}"/>
    <cellStyle name="Monetario" xfId="215" xr:uid="{00000000-0005-0000-0000-0000BA100000}"/>
    <cellStyle name="Monetario0" xfId="216" xr:uid="{00000000-0005-0000-0000-0000BB100000}"/>
    <cellStyle name="Neutral" xfId="4357" builtinId="28" customBuiltin="1"/>
    <cellStyle name="Neutral 2" xfId="590" xr:uid="{00000000-0005-0000-0000-0000BC100000}"/>
    <cellStyle name="Neutral 2 2" xfId="4599" xr:uid="{A6BB095D-4AC6-4625-9E32-9325CFBF67D9}"/>
    <cellStyle name="Neutral 2 3" xfId="4385" xr:uid="{255FF8F9-8204-47A3-8FC0-7AC634C99865}"/>
    <cellStyle name="Neutral 3" xfId="57" xr:uid="{00000000-0005-0000-0000-0000BD100000}"/>
    <cellStyle name="No-definido" xfId="217" xr:uid="{00000000-0005-0000-0000-0000BE100000}"/>
    <cellStyle name="Normal" xfId="0" builtinId="0"/>
    <cellStyle name="Normal - Formatvorlage1" xfId="218" xr:uid="{00000000-0005-0000-0000-0000C0100000}"/>
    <cellStyle name="Normal - Style1" xfId="219" xr:uid="{00000000-0005-0000-0000-0000C1100000}"/>
    <cellStyle name="Normal 10" xfId="289" xr:uid="{00000000-0005-0000-0000-0000C2100000}"/>
    <cellStyle name="Normal 10 2" xfId="4381" xr:uid="{16C44B47-FB17-4330-BCEE-DEEB9E3DDD35}"/>
    <cellStyle name="Normal 11" xfId="1171" xr:uid="{00000000-0005-0000-0000-0000C3100000}"/>
    <cellStyle name="Normal 11 2" xfId="4600" xr:uid="{2A25D783-F361-4D13-8D6A-A8895FE86F39}"/>
    <cellStyle name="Normal 11 3" xfId="4395" xr:uid="{DAD27AB6-2779-431F-805C-9D4CB8C427AD}"/>
    <cellStyle name="Normal 12" xfId="1173" xr:uid="{00000000-0005-0000-0000-0000C4100000}"/>
    <cellStyle name="Normal 12 2" xfId="4421" xr:uid="{D12E2DCF-18CC-4F92-9E5C-F23E5082EF4B}"/>
    <cellStyle name="Normal 13" xfId="4444" xr:uid="{72A33D8E-9BF1-4AAA-AF26-A1413DA1B946}"/>
    <cellStyle name="Normal 13 2" xfId="4469" xr:uid="{7B735088-853A-48A3-BB87-1D1A781A0699}"/>
    <cellStyle name="Normal 14" xfId="4480" xr:uid="{E5DB8FD5-81DD-4342-AAF7-CF416F70D411}"/>
    <cellStyle name="Normal 140" xfId="4367" xr:uid="{E3A4EDFC-E1F6-45C7-93C5-AE1CCB97948B}"/>
    <cellStyle name="Normal 15" xfId="4511" xr:uid="{E668DEF1-FB91-497F-831E-FB7EF77407A3}"/>
    <cellStyle name="Normal 16" xfId="4611" xr:uid="{D2CD9F1C-565A-468E-BD46-3D4FC9A604B4}"/>
    <cellStyle name="Normal 2" xfId="13" xr:uid="{00000000-0005-0000-0000-0000C5100000}"/>
    <cellStyle name="Normal 2 2" xfId="14" xr:uid="{00000000-0005-0000-0000-0000C6100000}"/>
    <cellStyle name="Normal 2 2 2" xfId="20" xr:uid="{00000000-0005-0000-0000-0000C7100000}"/>
    <cellStyle name="Normal 2 3" xfId="220" xr:uid="{00000000-0005-0000-0000-0000C8100000}"/>
    <cellStyle name="Normal 2 3 2" xfId="4471" xr:uid="{E604DFFD-C847-47D6-B1D7-1A2E166940DC}"/>
    <cellStyle name="Normal 2 3 3" xfId="4601" xr:uid="{8AACEED3-587C-4CC2-B0A8-A218B3EDAD6A}"/>
    <cellStyle name="Normal 2 3 4" xfId="4446" xr:uid="{54BBB623-3E26-47EB-BE14-1B21183D6BE0}"/>
    <cellStyle name="Normal 2_12000 ESTADOS FINANCIEROS IFRS DICIEMBRE 2008" xfId="221" xr:uid="{00000000-0005-0000-0000-0000C9100000}"/>
    <cellStyle name="Normal 3" xfId="3" xr:uid="{00000000-0005-0000-0000-0000CA100000}"/>
    <cellStyle name="Normal 3 2" xfId="16" xr:uid="{00000000-0005-0000-0000-0000CB100000}"/>
    <cellStyle name="Normal 3 3" xfId="15" xr:uid="{00000000-0005-0000-0000-0000CC100000}"/>
    <cellStyle name="Normal 3 3 2" xfId="4602" xr:uid="{FDE54023-B2AD-4F20-AE10-0E4BF688041C}"/>
    <cellStyle name="Normal 3 4" xfId="292" xr:uid="{00000000-0005-0000-0000-0000CD100000}"/>
    <cellStyle name="Normal 3 5" xfId="65" xr:uid="{00000000-0005-0000-0000-0000CE100000}"/>
    <cellStyle name="Normal 3 6" xfId="4368" xr:uid="{61DF476D-7CB1-403C-9ED2-2113744CADF0}"/>
    <cellStyle name="Normal 4" xfId="6" xr:uid="{00000000-0005-0000-0000-0000CF100000}"/>
    <cellStyle name="Normal 4 2" xfId="223" xr:uid="{00000000-0005-0000-0000-0000D0100000}"/>
    <cellStyle name="Normal 4 3" xfId="222" xr:uid="{00000000-0005-0000-0000-0000D1100000}"/>
    <cellStyle name="Normal 4_IFRS MARZ-JUN-DIC DTT" xfId="224" xr:uid="{00000000-0005-0000-0000-0000D2100000}"/>
    <cellStyle name="Normal 5" xfId="9" xr:uid="{00000000-0005-0000-0000-0000D3100000}"/>
    <cellStyle name="Normal 5 2" xfId="4371" xr:uid="{5E4E68CA-8CE6-4053-A2DD-FCE0C118776F}"/>
    <cellStyle name="Normal 5 3" xfId="4417" xr:uid="{135AACAF-B671-4148-9B88-647D4EDD2E0B}"/>
    <cellStyle name="Normal 6" xfId="286" xr:uid="{00000000-0005-0000-0000-0000D4100000}"/>
    <cellStyle name="Normal 6 2" xfId="4377" xr:uid="{02F700C6-F52A-4323-9BD9-81134C91DF0A}"/>
    <cellStyle name="Normal 6 3" xfId="4374" xr:uid="{6D5815A3-D8DE-48FD-A098-F2D910AF2413}"/>
    <cellStyle name="Normal 6 4" xfId="4603" xr:uid="{B8F1DDB7-9E4D-4F4D-8C9C-99D554D70392}"/>
    <cellStyle name="Normal 6 5" xfId="4369" xr:uid="{0CF6710C-70CA-45DB-B816-E173A9CF4116}"/>
    <cellStyle name="Normal 7" xfId="22" xr:uid="{00000000-0005-0000-0000-0000D5100000}"/>
    <cellStyle name="Normal 7 2" xfId="225" xr:uid="{00000000-0005-0000-0000-0000D6100000}"/>
    <cellStyle name="Normal 7 2 2" xfId="4396" xr:uid="{4F50A413-BF02-49F0-9B52-41EE90B8E7EE}"/>
    <cellStyle name="Normal 8" xfId="287" xr:uid="{00000000-0005-0000-0000-0000D7100000}"/>
    <cellStyle name="Normal 8 2" xfId="4378" xr:uid="{69DD8CE5-D28F-4999-A43B-572CC178A390}"/>
    <cellStyle name="Normal 8 3" xfId="4604" xr:uid="{210E5AB0-9BB7-4EE1-BBA8-2602890A2C92}"/>
    <cellStyle name="Normal 8 4" xfId="4370" xr:uid="{4C67471E-E969-406F-BD50-D952799BE5AA}"/>
    <cellStyle name="Normal 85" xfId="429" xr:uid="{00000000-0005-0000-0000-0000D8100000}"/>
    <cellStyle name="Normal 9" xfId="288" xr:uid="{00000000-0005-0000-0000-0000D9100000}"/>
    <cellStyle name="Normal 9 2" xfId="4454" xr:uid="{FBFC1ED0-4F7F-4918-90E3-130044B90E32}"/>
    <cellStyle name="Notas" xfId="34" builtinId="10" customBuiltin="1"/>
    <cellStyle name="Note 2" xfId="226" xr:uid="{00000000-0005-0000-0000-0000DB100000}"/>
    <cellStyle name="Note 2 2" xfId="776" xr:uid="{00000000-0005-0000-0000-0000DC100000}"/>
    <cellStyle name="Note 2 2 2" xfId="4792" xr:uid="{6FDF913C-C9B9-49F7-A040-D785668951BC}"/>
    <cellStyle name="Note 2 2 3" xfId="4803" xr:uid="{7408BFE7-1E32-4061-90AA-4414F01CB45A}"/>
    <cellStyle name="Note 2 3" xfId="4791" xr:uid="{EC37B6E0-3FCE-4D5C-8322-41E729BEB592}"/>
    <cellStyle name="Note 2 4" xfId="4802" xr:uid="{2877C205-812B-4B7B-8237-255939E8C984}"/>
    <cellStyle name="Output 2" xfId="227" xr:uid="{00000000-0005-0000-0000-0000DD100000}"/>
    <cellStyle name="Output 2 2" xfId="777" xr:uid="{00000000-0005-0000-0000-0000DE100000}"/>
    <cellStyle name="Output 2 2 2" xfId="4794" xr:uid="{71EB01F6-F8B9-4832-AB78-92BC36F35E45}"/>
    <cellStyle name="Output 2 2 3" xfId="4805" xr:uid="{9BC946EF-7A67-454E-A038-4AD2AF56C2C5}"/>
    <cellStyle name="Output 2 3" xfId="4793" xr:uid="{C260CE38-FAD2-485F-A65E-D98A5A2B15B4}"/>
    <cellStyle name="Output 2 4" xfId="4804" xr:uid="{46D6762F-AB65-4F84-AFF6-ECEF0054927A}"/>
    <cellStyle name="Percent %" xfId="228" xr:uid="{00000000-0005-0000-0000-0000E0100000}"/>
    <cellStyle name="Percent % Long Underline" xfId="229" xr:uid="{00000000-0005-0000-0000-0000E1100000}"/>
    <cellStyle name="Percent %_Caso 10" xfId="230" xr:uid="{00000000-0005-0000-0000-0000E2100000}"/>
    <cellStyle name="Percent (0)" xfId="231" xr:uid="{00000000-0005-0000-0000-0000E3100000}"/>
    <cellStyle name="Percent [2]" xfId="232" xr:uid="{00000000-0005-0000-0000-0000E4100000}"/>
    <cellStyle name="Percent 0.0%" xfId="233" xr:uid="{00000000-0005-0000-0000-0000E5100000}"/>
    <cellStyle name="Percent 0.0% Long Underline" xfId="234" xr:uid="{00000000-0005-0000-0000-0000E6100000}"/>
    <cellStyle name="Percent 0.0%_Caso 10" xfId="235" xr:uid="{00000000-0005-0000-0000-0000E7100000}"/>
    <cellStyle name="Percent 0.00%" xfId="236" xr:uid="{00000000-0005-0000-0000-0000E8100000}"/>
    <cellStyle name="Percent 0.00% Long Underline" xfId="237" xr:uid="{00000000-0005-0000-0000-0000E9100000}"/>
    <cellStyle name="Percent 0.00%_Caso 10" xfId="238" xr:uid="{00000000-0005-0000-0000-0000EA100000}"/>
    <cellStyle name="Percent 0.000%" xfId="239" xr:uid="{00000000-0005-0000-0000-0000EB100000}"/>
    <cellStyle name="Percent 0.000% Long Underline" xfId="240" xr:uid="{00000000-0005-0000-0000-0000EC100000}"/>
    <cellStyle name="Percent 0.000%_Caso 10" xfId="241" xr:uid="{00000000-0005-0000-0000-0000ED100000}"/>
    <cellStyle name="Percent 2" xfId="242" xr:uid="{00000000-0005-0000-0000-0000EE100000}"/>
    <cellStyle name="Percent 2 2" xfId="243" xr:uid="{00000000-0005-0000-0000-0000EF100000}"/>
    <cellStyle name="Percent 2 2 2" xfId="244" xr:uid="{00000000-0005-0000-0000-0000F0100000}"/>
    <cellStyle name="Percent 3" xfId="245" xr:uid="{00000000-0005-0000-0000-0000F1100000}"/>
    <cellStyle name="Percent 4" xfId="246" xr:uid="{00000000-0005-0000-0000-0000F2100000}"/>
    <cellStyle name="Porcen - Estilo2" xfId="247" xr:uid="{00000000-0005-0000-0000-0000F3100000}"/>
    <cellStyle name="Porcentaje" xfId="2" builtinId="5"/>
    <cellStyle name="Porcentaje 2" xfId="17" xr:uid="{00000000-0005-0000-0000-0000F5100000}"/>
    <cellStyle name="Porcentaje 2 2" xfId="430" xr:uid="{00000000-0005-0000-0000-0000F6100000}"/>
    <cellStyle name="Porcentaje 3" xfId="248" xr:uid="{00000000-0005-0000-0000-0000F7100000}"/>
    <cellStyle name="Porcentaje 3 2" xfId="4513" xr:uid="{5D8F450C-9FBF-4C04-BDDD-7459CD04E4F1}"/>
    <cellStyle name="Porcentaje 4" xfId="4605" xr:uid="{228920DF-5E35-4C80-AC81-19C858C112CE}"/>
    <cellStyle name="Porcentual 2" xfId="18" xr:uid="{00000000-0005-0000-0000-0000F8100000}"/>
    <cellStyle name="Porcentual 2 2" xfId="4412" xr:uid="{DFBE435D-2981-4D56-9B27-3C50B92345F9}"/>
    <cellStyle name="Porcentual 2 3" xfId="4379" xr:uid="{200BE1A7-4889-4FE5-B4E8-D6BC7BFA0105}"/>
    <cellStyle name="Porcentual 3" xfId="19" xr:uid="{00000000-0005-0000-0000-0000F9100000}"/>
    <cellStyle name="Porcentual 3 2" xfId="4394" xr:uid="{FDBE9461-0BA6-45EC-B59B-2E51776DE768}"/>
    <cellStyle name="Protected" xfId="249" xr:uid="{00000000-0005-0000-0000-0000FA100000}"/>
    <cellStyle name="PSChar" xfId="250" xr:uid="{00000000-0005-0000-0000-0000FB100000}"/>
    <cellStyle name="PSDate" xfId="251" xr:uid="{00000000-0005-0000-0000-0000FC100000}"/>
    <cellStyle name="PSDec" xfId="252" xr:uid="{00000000-0005-0000-0000-0000FD100000}"/>
    <cellStyle name="PSHeading" xfId="253" xr:uid="{00000000-0005-0000-0000-0000FE100000}"/>
    <cellStyle name="PSHeading 2" xfId="4796" xr:uid="{425FC160-3973-4816-BB93-D357534A5B59}"/>
    <cellStyle name="PSHeading 2 2" xfId="4897" xr:uid="{74F28B14-C2DA-4D7B-8A3C-30E8BB23A0F1}"/>
    <cellStyle name="PSHeading 2 3" xfId="5182" xr:uid="{8413FF72-104A-40AB-90F1-1030913C63EA}"/>
    <cellStyle name="PSHeading 3" xfId="4606" xr:uid="{1F074FB0-DF53-447C-90FF-17ECAF3B6849}"/>
    <cellStyle name="PSHeading 4" xfId="4984" xr:uid="{C4F2EE2D-416F-49D6-B537-B4F29699D1C6}"/>
    <cellStyle name="PSInt" xfId="254" xr:uid="{00000000-0005-0000-0000-0000FF100000}"/>
    <cellStyle name="PSSpacer" xfId="255" xr:uid="{00000000-0005-0000-0000-000000110000}"/>
    <cellStyle name="Punto" xfId="256" xr:uid="{00000000-0005-0000-0000-000001110000}"/>
    <cellStyle name="Punto0" xfId="257" xr:uid="{00000000-0005-0000-0000-000002110000}"/>
    <cellStyle name="Punto0 - Estilo1" xfId="258" xr:uid="{00000000-0005-0000-0000-000003110000}"/>
    <cellStyle name="Punto0 - Estilo3" xfId="259" xr:uid="{00000000-0005-0000-0000-000004110000}"/>
    <cellStyle name="Punto0 - Estilo4" xfId="260" xr:uid="{00000000-0005-0000-0000-000005110000}"/>
    <cellStyle name="Punto0_11 OR AT 2006 Payback S A al 31 12 05 (Definitivo) al 24.01.06" xfId="261" xr:uid="{00000000-0005-0000-0000-000006110000}"/>
    <cellStyle name="Punto1 - Estilo1" xfId="262" xr:uid="{00000000-0005-0000-0000-000007110000}"/>
    <cellStyle name="Salida" xfId="29" builtinId="21" customBuiltin="1"/>
    <cellStyle name="Standard_FORMA-1" xfId="263" xr:uid="{00000000-0005-0000-0000-000009110000}"/>
    <cellStyle name="Style 1" xfId="264" xr:uid="{00000000-0005-0000-0000-00000A110000}"/>
    <cellStyle name="Style 2" xfId="265" xr:uid="{00000000-0005-0000-0000-00000B110000}"/>
    <cellStyle name="subgroup" xfId="266" xr:uid="{00000000-0005-0000-0000-00000C110000}"/>
    <cellStyle name="SubHead" xfId="267" xr:uid="{00000000-0005-0000-0000-00000D110000}"/>
    <cellStyle name="Subtotal" xfId="268" xr:uid="{00000000-0005-0000-0000-00000E110000}"/>
    <cellStyle name="Texto de advertencia" xfId="33" builtinId="11" customBuiltin="1"/>
    <cellStyle name="Texto explicativo" xfId="35" builtinId="53" customBuiltin="1"/>
    <cellStyle name="Tickmark" xfId="269" xr:uid="{00000000-0005-0000-0000-000011110000}"/>
    <cellStyle name="Title 2" xfId="270" xr:uid="{00000000-0005-0000-0000-000012110000}"/>
    <cellStyle name="Título" xfId="4355" builtinId="15" customBuiltin="1"/>
    <cellStyle name="Título 2" xfId="23" builtinId="17" customBuiltin="1"/>
    <cellStyle name="Título 3" xfId="24" builtinId="18" customBuiltin="1"/>
    <cellStyle name="Título 4" xfId="343" xr:uid="{00000000-0005-0000-0000-000016110000}"/>
    <cellStyle name="Título 5" xfId="55" xr:uid="{00000000-0005-0000-0000-000017110000}"/>
    <cellStyle name="Total" xfId="36" builtinId="25" customBuiltin="1"/>
    <cellStyle name="Total 2" xfId="4386" xr:uid="{1A67B769-1B75-4F3C-8283-AD7D22C1A0D3}"/>
    <cellStyle name="Total 2 2" xfId="4399" xr:uid="{3C95CA9E-8F55-4FB5-972E-B804AC1F08B0}"/>
    <cellStyle name="Total 2 2 2" xfId="4434" xr:uid="{429E38EE-4FE7-46FA-9B1F-46A63CD49293}"/>
    <cellStyle name="Total 2 2 2 2" xfId="4474" xr:uid="{2BC7A3BC-6230-4ABE-9E88-A4452B1490B3}"/>
    <cellStyle name="Total 2 2 2 2 2" xfId="4671" xr:uid="{AFF99B1D-5604-4852-9BA8-9EECD23724CF}"/>
    <cellStyle name="Total 2 2 2 2 3" xfId="4481" xr:uid="{4C28D9F4-83B7-442F-93BE-04A43282E761}"/>
    <cellStyle name="Total 2 2 2 2 3 2" xfId="4677" xr:uid="{8FF2A852-6048-43F4-AEE8-9E6DA67C693E}"/>
    <cellStyle name="Total 2 2 2 2 4" xfId="4496" xr:uid="{376C0968-CD7E-4F61-A808-7630BBE864D3}"/>
    <cellStyle name="Total 2 2 2 2 4 2" xfId="4692" xr:uid="{8BF0F241-7255-462E-A888-7644A6ED88C0}"/>
    <cellStyle name="Total 2 2 2 3" xfId="4449" xr:uid="{3666B7B9-9070-4EDF-B267-158036E75F2E}"/>
    <cellStyle name="Total 2 2 2 3 2" xfId="4482" xr:uid="{A0928FF9-56DD-4948-AAAF-C1F1D278E6CD}"/>
    <cellStyle name="Total 2 2 2 3 2 2" xfId="4678" xr:uid="{DDEAAC69-93C5-442C-BDAF-7A875950D220}"/>
    <cellStyle name="Total 2 2 2 3 3" xfId="4497" xr:uid="{9297D691-0B90-49E3-B717-047E1279335C}"/>
    <cellStyle name="Total 2 2 2 3 3 2" xfId="4693" xr:uid="{BF802803-139F-49E2-806C-0E39B40D817F}"/>
    <cellStyle name="Total 2 2 2 3 4" xfId="4664" xr:uid="{2E5513A2-9CB9-4E16-A987-BD56AF5DCAC7}"/>
    <cellStyle name="Total 2 2 2 4" xfId="4658" xr:uid="{C07EEC4D-6100-4429-B53A-C987CB058E9C}"/>
    <cellStyle name="Total 2 2 3" xfId="4453" xr:uid="{4350767E-A420-430C-8B97-709DD1EB128F}"/>
    <cellStyle name="Total 2 2 3 2" xfId="4483" xr:uid="{486E6767-E47A-47EC-9245-FCD68DED3ECB}"/>
    <cellStyle name="Total 2 2 3 2 2" xfId="4679" xr:uid="{B2AFF1D2-E11A-466C-B1B3-3B2CAD504CEE}"/>
    <cellStyle name="Total 2 2 3 3" xfId="4498" xr:uid="{2F6BD241-69EE-4844-99E5-D44D93277B65}"/>
    <cellStyle name="Total 2 2 3 3 2" xfId="4694" xr:uid="{00A413E9-145E-46D8-9B90-5D50730CFB1F}"/>
    <cellStyle name="Total 2 2 3 4" xfId="4668" xr:uid="{CCF3AFE0-C5D2-4CE9-9816-69E3731F40E7}"/>
    <cellStyle name="Total 2 2 4" xfId="4633" xr:uid="{2EF4E2D5-7BCA-4636-85A9-803A80B6EFFD}"/>
    <cellStyle name="Total 2 3" xfId="4400" xr:uid="{86ECE216-11EA-4609-859D-5C039615124A}"/>
    <cellStyle name="Total 2 3 2" xfId="4435" xr:uid="{6D3CB9CB-ACF0-421B-9729-E7486926EE60}"/>
    <cellStyle name="Total 2 3 2 2" xfId="4475" xr:uid="{9048EFAC-ECED-407F-902A-CFC0B99873B8}"/>
    <cellStyle name="Total 2 3 2 2 2" xfId="4672" xr:uid="{762D9282-6DDF-403B-BBF8-E4D1AD779B79}"/>
    <cellStyle name="Total 2 3 2 2 3" xfId="4484" xr:uid="{03AF57E1-A8A4-478D-B88C-680D5A1B2916}"/>
    <cellStyle name="Total 2 3 2 2 3 2" xfId="4680" xr:uid="{F093BBBA-D4A1-436E-91C6-D4E3CF7D226D}"/>
    <cellStyle name="Total 2 3 2 2 4" xfId="4499" xr:uid="{66B8B5C8-C89C-47F3-A62B-6AB899912BF7}"/>
    <cellStyle name="Total 2 3 2 2 4 2" xfId="4695" xr:uid="{5E349990-7069-4FF6-89A7-8226C92AB4E8}"/>
    <cellStyle name="Total 2 3 2 3" xfId="4452" xr:uid="{EB36C166-245F-44D8-99C9-82746BB79D66}"/>
    <cellStyle name="Total 2 3 2 3 2" xfId="4485" xr:uid="{B1DE937E-7685-467E-B2E7-3E4B9F89732E}"/>
    <cellStyle name="Total 2 3 2 3 2 2" xfId="4681" xr:uid="{E73541ED-DDB2-48EF-A14C-BB8692951D0D}"/>
    <cellStyle name="Total 2 3 2 3 3" xfId="4500" xr:uid="{F33F2766-AD23-4382-806C-0A073EF9B36D}"/>
    <cellStyle name="Total 2 3 2 3 3 2" xfId="4696" xr:uid="{33ADCA7C-C6F5-4F9E-B347-73658E840FCF}"/>
    <cellStyle name="Total 2 3 2 3 4" xfId="4667" xr:uid="{38E7E35B-A767-4DEB-B98B-89AC11A0B470}"/>
    <cellStyle name="Total 2 3 2 4" xfId="4659" xr:uid="{E728BD72-6EA2-4E7F-861E-46100F77BE59}"/>
    <cellStyle name="Total 2 3 3" xfId="4451" xr:uid="{266E99A9-5D21-41E0-A620-4014AC18C8C1}"/>
    <cellStyle name="Total 2 3 3 2" xfId="4486" xr:uid="{E899C5FA-E7FA-43C1-A3B1-2B9B2E38E91B}"/>
    <cellStyle name="Total 2 3 3 2 2" xfId="4682" xr:uid="{D2C5B6CE-5E03-4188-BB3F-0CF78A6FD100}"/>
    <cellStyle name="Total 2 3 3 3" xfId="4501" xr:uid="{377465E4-D3DC-4D40-9148-9F158870A139}"/>
    <cellStyle name="Total 2 3 3 3 2" xfId="4697" xr:uid="{8D217EFD-62E4-49FC-801E-9851D068DE33}"/>
    <cellStyle name="Total 2 3 3 4" xfId="4666" xr:uid="{DB3EA0E6-EFFE-41EF-9FD0-C9F6D7E18A2F}"/>
    <cellStyle name="Total 2 3 4" xfId="4634" xr:uid="{A0E3BC45-C4D0-4A37-A79A-6941A46D20C9}"/>
    <cellStyle name="Total 2 4" xfId="4424" xr:uid="{EABD4EE4-178E-4AF3-B2B4-A48E48BBE72F}"/>
    <cellStyle name="Total 2 4 2" xfId="4443" xr:uid="{AA437423-CB8C-4B80-8440-73C8E9D702D1}"/>
    <cellStyle name="Total 2 4 2 2" xfId="4477" xr:uid="{5992C4A1-F2A8-4C56-9531-7213FD30B843}"/>
    <cellStyle name="Total 2 4 2 2 2" xfId="4674" xr:uid="{D0DD870A-0704-47F1-AC0E-A5C702996922}"/>
    <cellStyle name="Total 2 4 2 2 3" xfId="4487" xr:uid="{7D22271F-466F-4EA2-9F35-D150F2596C14}"/>
    <cellStyle name="Total 2 4 2 2 3 2" xfId="4683" xr:uid="{42BC1888-8A91-4C8A-8778-D89F0611243A}"/>
    <cellStyle name="Total 2 4 2 2 4" xfId="4502" xr:uid="{BE1F201F-3FC0-4BF8-939C-EC68B4B2BF64}"/>
    <cellStyle name="Total 2 4 2 2 4 2" xfId="4698" xr:uid="{679CEF75-30B2-42B4-BF6A-21A169148586}"/>
    <cellStyle name="Total 2 4 2 3" xfId="4479" xr:uid="{7FFBA258-3C21-41B3-9D2C-6BEC5BFDE3E8}"/>
    <cellStyle name="Total 2 4 2 3 2" xfId="4488" xr:uid="{591AE20E-EA5E-4DB8-9847-854DB0735508}"/>
    <cellStyle name="Total 2 4 2 3 2 2" xfId="4684" xr:uid="{3382041F-3FF5-4751-8DE6-EEC519737F0D}"/>
    <cellStyle name="Total 2 4 2 3 3" xfId="4503" xr:uid="{1E9B9C51-2F44-494C-A336-BE7C36C30EBE}"/>
    <cellStyle name="Total 2 4 2 3 3 2" xfId="4699" xr:uid="{D2BAA961-0BC8-4318-A75F-D3CE2038A245}"/>
    <cellStyle name="Total 2 4 2 3 4" xfId="4676" xr:uid="{36B7E965-A0B0-4E30-AD61-B363649CEE02}"/>
    <cellStyle name="Total 2 4 2 4" xfId="4661" xr:uid="{10A4538A-FED3-49FD-85D5-D1DCFD12A5DB}"/>
    <cellStyle name="Total 2 4 3" xfId="4450" xr:uid="{78942EC3-F515-479D-9582-194897FBD63B}"/>
    <cellStyle name="Total 2 4 3 2" xfId="4489" xr:uid="{53F6E7DB-6AB9-41E9-BD0B-835312A02911}"/>
    <cellStyle name="Total 2 4 3 2 2" xfId="4685" xr:uid="{D5D3324A-45DD-4ABE-9B88-C71E36795503}"/>
    <cellStyle name="Total 2 4 3 3" xfId="4504" xr:uid="{0AAE3275-A249-40CE-B192-9AE9DD346FC3}"/>
    <cellStyle name="Total 2 4 3 3 2" xfId="4700" xr:uid="{537DD765-0D5C-4E81-8D46-90BE3EB466A2}"/>
    <cellStyle name="Total 2 4 3 4" xfId="4665" xr:uid="{A5562972-AF1D-4FFF-87D5-08DA54564198}"/>
    <cellStyle name="Total 2 4 4" xfId="4655" xr:uid="{1295C733-F6DE-4B65-AB28-40139BCD8057}"/>
    <cellStyle name="Total 2 5" xfId="4401" xr:uid="{4B4EA25E-7584-4286-A83F-E2D0F6C7A30C}"/>
    <cellStyle name="Total 2 5 2" xfId="4436" xr:uid="{1CBD623F-1B6D-4368-87EB-98FFE9FCCF24}"/>
    <cellStyle name="Total 2 5 2 2" xfId="4476" xr:uid="{EA27D6BF-23D9-4691-A409-1EE8B6B8067E}"/>
    <cellStyle name="Total 2 5 2 2 2" xfId="4673" xr:uid="{89AC31C4-F5E9-488C-8BB7-ACE488A96704}"/>
    <cellStyle name="Total 2 5 2 2 3" xfId="4490" xr:uid="{90D9778F-0291-4069-BE8A-519E19726D12}"/>
    <cellStyle name="Total 2 5 2 2 3 2" xfId="4686" xr:uid="{01F1872F-9D36-4DF9-BDB6-EBF09FD3F63D}"/>
    <cellStyle name="Total 2 5 2 2 4" xfId="4505" xr:uid="{6409F42E-B835-4DD4-9397-1E0CC13FA73E}"/>
    <cellStyle name="Total 2 5 2 2 4 2" xfId="4701" xr:uid="{FF8AB6FB-B645-4830-BD5D-8B5EEC85A17E}"/>
    <cellStyle name="Total 2 5 2 3" xfId="4447" xr:uid="{FEC70A18-5FAA-4F5B-935B-6DF8137400BA}"/>
    <cellStyle name="Total 2 5 2 3 2" xfId="4491" xr:uid="{5A41FBF0-B656-4ECA-BE1A-BCACBD8A4BC3}"/>
    <cellStyle name="Total 2 5 2 3 2 2" xfId="4687" xr:uid="{3F6E432C-B8E6-4A4E-B25F-F0C9E563C20E}"/>
    <cellStyle name="Total 2 5 2 3 3" xfId="4506" xr:uid="{B96F70FE-C273-4C77-8DE9-727B07D5C729}"/>
    <cellStyle name="Total 2 5 2 3 3 2" xfId="4702" xr:uid="{6A5F4993-7E17-4C11-942F-339CC5A031FE}"/>
    <cellStyle name="Total 2 5 2 3 4" xfId="4662" xr:uid="{34B6B3C1-079F-4A34-A840-61E1CF2ECE8A}"/>
    <cellStyle name="Total 2 5 2 4" xfId="4660" xr:uid="{80016E0F-7C4B-4270-8166-5DEE5733B694}"/>
    <cellStyle name="Total 2 5 3" xfId="4473" xr:uid="{DDFB02E1-A592-4555-9A2E-344A63BA89EE}"/>
    <cellStyle name="Total 2 5 3 2" xfId="4492" xr:uid="{376E3C5C-045E-4EA4-8113-EC492770C3CA}"/>
    <cellStyle name="Total 2 5 3 2 2" xfId="4688" xr:uid="{9C9552E5-FA2F-42E5-8067-F1DFF49B9AF9}"/>
    <cellStyle name="Total 2 5 3 3" xfId="4507" xr:uid="{0CF6FC09-12FB-4FA5-A4F1-D722BB59E10D}"/>
    <cellStyle name="Total 2 5 3 3 2" xfId="4703" xr:uid="{CF4768C5-8FBE-4A9B-B629-591B20105651}"/>
    <cellStyle name="Total 2 5 3 4" xfId="4670" xr:uid="{60E1B064-9291-441E-A9E1-1B81551E98AE}"/>
    <cellStyle name="Total 2 5 4" xfId="4635" xr:uid="{337C5852-C731-460E-BCD7-44285F77A142}"/>
    <cellStyle name="Total 2 6" xfId="4432" xr:uid="{7A93B950-5B79-4FA8-A684-25CF28F45259}"/>
    <cellStyle name="Total 2 6 2" xfId="4472" xr:uid="{BE15FFA9-0353-4689-8F2A-441D8797D6EE}"/>
    <cellStyle name="Total 2 6 2 2" xfId="4669" xr:uid="{C9C1D13E-AB5D-44B2-9E70-3AE66440AA73}"/>
    <cellStyle name="Total 2 6 2 3" xfId="4493" xr:uid="{A379C927-D0AB-4A31-A7AD-5D8B38D4CA6D}"/>
    <cellStyle name="Total 2 6 2 3 2" xfId="4689" xr:uid="{9EFEA28C-0AE4-4DB9-B6ED-0B450C5B2674}"/>
    <cellStyle name="Total 2 6 2 4" xfId="4508" xr:uid="{FD631A01-CE03-426E-A335-922D30459F31}"/>
    <cellStyle name="Total 2 6 2 4 2" xfId="4704" xr:uid="{DE3623F3-D6FA-4CA8-99CB-130B09273AE3}"/>
    <cellStyle name="Total 2 6 3" xfId="4448" xr:uid="{ABFF012F-BD76-440E-A94D-49525A4EFC23}"/>
    <cellStyle name="Total 2 6 3 2" xfId="4494" xr:uid="{D3358A8B-49C6-4FB8-8FF0-93328F219CBA}"/>
    <cellStyle name="Total 2 6 3 2 2" xfId="4690" xr:uid="{34CCD2C8-9B8C-4913-BB34-5C8C428A7904}"/>
    <cellStyle name="Total 2 6 3 3" xfId="4509" xr:uid="{F5C414D8-9D6A-4CD2-B3A2-21F551C4AE72}"/>
    <cellStyle name="Total 2 6 3 3 2" xfId="4705" xr:uid="{999E4741-E9F9-4904-BAE4-EED227D38176}"/>
    <cellStyle name="Total 2 6 3 4" xfId="4663" xr:uid="{2A8AA3D6-87F9-4DC6-8596-5F80B92BD093}"/>
    <cellStyle name="Total 2 6 4" xfId="4657" xr:uid="{C72CD0B2-3828-4A2D-83D8-7BFEF4699DC3}"/>
    <cellStyle name="Total 2 7" xfId="4478" xr:uid="{0FC9F770-CA70-40C7-83D1-5B2B0EEC0359}"/>
    <cellStyle name="Total 2 7 2" xfId="4495" xr:uid="{87CDD473-DD43-4418-AA4D-7908965FDA5A}"/>
    <cellStyle name="Total 2 7 2 2" xfId="4691" xr:uid="{5524E336-A2F7-49E7-B082-E9B657518019}"/>
    <cellStyle name="Total 2 7 3" xfId="4510" xr:uid="{DEC4833F-014D-4489-88D3-FE1F5F733FCB}"/>
    <cellStyle name="Total 2 7 3 2" xfId="4706" xr:uid="{E9D733C1-A7B3-4B65-A100-C8ADC434A962}"/>
    <cellStyle name="Total 2 7 4" xfId="4675" xr:uid="{2563061D-6824-4157-85FB-2B04AEFA9577}"/>
    <cellStyle name="Total 2 8" xfId="4623" xr:uid="{BA47AB09-ADEA-4BAD-82E4-76F7F3CFB160}"/>
    <cellStyle name="Tusental (0)_pldt" xfId="271" xr:uid="{00000000-0005-0000-0000-000019110000}"/>
    <cellStyle name="Tusental_pldt" xfId="272" xr:uid="{00000000-0005-0000-0000-00001A110000}"/>
    <cellStyle name="Valuta (0)_pldt" xfId="273" xr:uid="{00000000-0005-0000-0000-00001B110000}"/>
    <cellStyle name="Valuta_pldt" xfId="274" xr:uid="{00000000-0005-0000-0000-00001C110000}"/>
    <cellStyle name="Währung [0]_FBA-6" xfId="275" xr:uid="{00000000-0005-0000-0000-00001D110000}"/>
    <cellStyle name="Währung_FBA-6" xfId="276" xr:uid="{00000000-0005-0000-0000-00001E110000}"/>
    <cellStyle name="Warning Text 2" xfId="277" xr:uid="{00000000-0005-0000-0000-00001F110000}"/>
    <cellStyle name="XComma" xfId="278" xr:uid="{00000000-0005-0000-0000-000021110000}"/>
    <cellStyle name="XComma 0.0" xfId="279" xr:uid="{00000000-0005-0000-0000-000022110000}"/>
    <cellStyle name="XComma 0.00" xfId="280" xr:uid="{00000000-0005-0000-0000-000023110000}"/>
    <cellStyle name="XComma 0.000" xfId="281" xr:uid="{00000000-0005-0000-0000-000024110000}"/>
    <cellStyle name="XCurrency" xfId="282" xr:uid="{00000000-0005-0000-0000-000025110000}"/>
    <cellStyle name="XCurrency 0.0" xfId="283" xr:uid="{00000000-0005-0000-0000-000026110000}"/>
    <cellStyle name="XCurrency 0.00" xfId="284" xr:uid="{00000000-0005-0000-0000-000027110000}"/>
    <cellStyle name="XCurrency 0.000" xfId="285" xr:uid="{00000000-0005-0000-0000-000028110000}"/>
  </cellStyles>
  <dxfs count="0"/>
  <tableStyles count="0" defaultTableStyle="TableStyleMedium2" defaultPivotStyle="PivotStyleLight16"/>
  <colors>
    <mruColors>
      <color rgb="FF83BC5C"/>
      <color rgb="FFE1ECF7"/>
      <color rgb="FFD4E5F4"/>
      <color rgb="FFECF3FA"/>
      <color rgb="FF24B4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Non-Operating Income'!A1"/><Relationship Id="rId3" Type="http://schemas.openxmlformats.org/officeDocument/2006/relationships/hyperlink" Target="#PPAs!A1"/><Relationship Id="rId7" Type="http://schemas.openxmlformats.org/officeDocument/2006/relationships/hyperlink" Target="#'Operating Income'!A1"/><Relationship Id="rId12" Type="http://schemas.openxmlformats.org/officeDocument/2006/relationships/hyperlink" Target="#'Cash Flow'!A1"/><Relationship Id="rId2" Type="http://schemas.openxmlformats.org/officeDocument/2006/relationships/hyperlink" Target="#'Installed Capacity'!A1"/><Relationship Id="rId1" Type="http://schemas.openxmlformats.org/officeDocument/2006/relationships/image" Target="../media/image1.png"/><Relationship Id="rId6" Type="http://schemas.openxmlformats.org/officeDocument/2006/relationships/hyperlink" Target="#'Income Statement'!A1"/><Relationship Id="rId11" Type="http://schemas.openxmlformats.org/officeDocument/2006/relationships/hyperlink" Target="#'Amortization Profile'!A1"/><Relationship Id="rId5" Type="http://schemas.openxmlformats.org/officeDocument/2006/relationships/hyperlink" Target="#'Physical Sales &amp; Gx.'!A1"/><Relationship Id="rId10" Type="http://schemas.openxmlformats.org/officeDocument/2006/relationships/image" Target="../media/image2.png"/><Relationship Id="rId4" Type="http://schemas.openxmlformats.org/officeDocument/2006/relationships/hyperlink" Target="#'Balance Sheet'!A1"/><Relationship Id="rId9" Type="http://schemas.openxmlformats.org/officeDocument/2006/relationships/hyperlink" Target="#'Main Debt Items'!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640721</xdr:colOff>
      <xdr:row>37</xdr:row>
      <xdr:rowOff>105724</xdr:rowOff>
    </xdr:to>
    <xdr:pic>
      <xdr:nvPicPr>
        <xdr:cNvPr id="16" name="Picture 15">
          <a:extLst>
            <a:ext uri="{FF2B5EF4-FFF2-40B4-BE49-F238E27FC236}">
              <a16:creationId xmlns:a16="http://schemas.microsoft.com/office/drawing/2014/main" id="{D7FBBE6C-13C3-6466-23BB-30FC9832A2C8}"/>
            </a:ext>
          </a:extLst>
        </xdr:cNvPr>
        <xdr:cNvPicPr>
          <a:picLocks noChangeAspect="1"/>
        </xdr:cNvPicPr>
      </xdr:nvPicPr>
      <xdr:blipFill>
        <a:blip xmlns:r="http://schemas.openxmlformats.org/officeDocument/2006/relationships" r:embed="rId1"/>
        <a:stretch>
          <a:fillRect/>
        </a:stretch>
      </xdr:blipFill>
      <xdr:spPr>
        <a:xfrm>
          <a:off x="0" y="0"/>
          <a:ext cx="18242921" cy="6801799"/>
        </a:xfrm>
        <a:prstGeom prst="rect">
          <a:avLst/>
        </a:prstGeom>
      </xdr:spPr>
    </xdr:pic>
    <xdr:clientData/>
  </xdr:twoCellAnchor>
  <xdr:twoCellAnchor>
    <xdr:from>
      <xdr:col>0</xdr:col>
      <xdr:colOff>581024</xdr:colOff>
      <xdr:row>8</xdr:row>
      <xdr:rowOff>1</xdr:rowOff>
    </xdr:from>
    <xdr:to>
      <xdr:col>5</xdr:col>
      <xdr:colOff>152399</xdr:colOff>
      <xdr:row>9</xdr:row>
      <xdr:rowOff>38101</xdr:rowOff>
    </xdr:to>
    <xdr:sp macro="[0]!Macro1" textlink="">
      <xdr:nvSpPr>
        <xdr:cNvPr id="2" name="Rectángulo: esquinas redondeadas 1">
          <a:hlinkClick xmlns:r="http://schemas.openxmlformats.org/officeDocument/2006/relationships" r:id="rId2"/>
          <a:extLst>
            <a:ext uri="{FF2B5EF4-FFF2-40B4-BE49-F238E27FC236}">
              <a16:creationId xmlns:a16="http://schemas.microsoft.com/office/drawing/2014/main" id="{80C19A50-DAE2-EED8-4F3B-B5C2E0DB3ADE}"/>
            </a:ext>
          </a:extLst>
        </xdr:cNvPr>
        <xdr:cNvSpPr/>
      </xdr:nvSpPr>
      <xdr:spPr>
        <a:xfrm>
          <a:off x="581024" y="15240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590549</xdr:colOff>
      <xdr:row>9</xdr:row>
      <xdr:rowOff>152401</xdr:rowOff>
    </xdr:from>
    <xdr:to>
      <xdr:col>5</xdr:col>
      <xdr:colOff>161924</xdr:colOff>
      <xdr:row>11</xdr:row>
      <xdr:rowOff>1</xdr:rowOff>
    </xdr:to>
    <xdr:sp macro="[0]!Macro2" textlink="">
      <xdr:nvSpPr>
        <xdr:cNvPr id="4" name="Rectángulo: esquinas redondeadas 3">
          <a:hlinkClick xmlns:r="http://schemas.openxmlformats.org/officeDocument/2006/relationships" r:id="rId3"/>
          <a:extLst>
            <a:ext uri="{FF2B5EF4-FFF2-40B4-BE49-F238E27FC236}">
              <a16:creationId xmlns:a16="http://schemas.microsoft.com/office/drawing/2014/main" id="{1964AF5C-99AC-49D5-BEB7-B4DFA876DAAF}"/>
            </a:ext>
          </a:extLst>
        </xdr:cNvPr>
        <xdr:cNvSpPr/>
      </xdr:nvSpPr>
      <xdr:spPr>
        <a:xfrm>
          <a:off x="590549" y="18669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 PPAs</a:t>
          </a:r>
        </a:p>
      </xdr:txBody>
    </xdr:sp>
    <xdr:clientData/>
  </xdr:twoCellAnchor>
  <xdr:twoCellAnchor>
    <xdr:from>
      <xdr:col>0</xdr:col>
      <xdr:colOff>600074</xdr:colOff>
      <xdr:row>18</xdr:row>
      <xdr:rowOff>161926</xdr:rowOff>
    </xdr:from>
    <xdr:to>
      <xdr:col>5</xdr:col>
      <xdr:colOff>171449</xdr:colOff>
      <xdr:row>20</xdr:row>
      <xdr:rowOff>9526</xdr:rowOff>
    </xdr:to>
    <xdr:sp macro="[0]!Macro7" textlink="">
      <xdr:nvSpPr>
        <xdr:cNvPr id="5" name="Rectángulo: esquinas redondeadas 4">
          <a:hlinkClick xmlns:r="http://schemas.openxmlformats.org/officeDocument/2006/relationships" r:id="rId4"/>
          <a:extLst>
            <a:ext uri="{FF2B5EF4-FFF2-40B4-BE49-F238E27FC236}">
              <a16:creationId xmlns:a16="http://schemas.microsoft.com/office/drawing/2014/main" id="{4F9CB2F7-5C29-47C1-9992-474913E8EFE5}"/>
            </a:ext>
          </a:extLst>
        </xdr:cNvPr>
        <xdr:cNvSpPr/>
      </xdr:nvSpPr>
      <xdr:spPr>
        <a:xfrm>
          <a:off x="600074" y="35909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Balance Sheet</a:t>
          </a:r>
        </a:p>
      </xdr:txBody>
    </xdr:sp>
    <xdr:clientData/>
  </xdr:twoCellAnchor>
  <xdr:twoCellAnchor>
    <xdr:from>
      <xdr:col>0</xdr:col>
      <xdr:colOff>571499</xdr:colOff>
      <xdr:row>11</xdr:row>
      <xdr:rowOff>104776</xdr:rowOff>
    </xdr:from>
    <xdr:to>
      <xdr:col>5</xdr:col>
      <xdr:colOff>142874</xdr:colOff>
      <xdr:row>12</xdr:row>
      <xdr:rowOff>142876</xdr:rowOff>
    </xdr:to>
    <xdr:sp macro="[0]!Macro3" textlink="">
      <xdr:nvSpPr>
        <xdr:cNvPr id="6" name="Rectángulo: esquinas redondeadas 5">
          <a:hlinkClick xmlns:r="http://schemas.openxmlformats.org/officeDocument/2006/relationships" r:id="rId5"/>
          <a:extLst>
            <a:ext uri="{FF2B5EF4-FFF2-40B4-BE49-F238E27FC236}">
              <a16:creationId xmlns:a16="http://schemas.microsoft.com/office/drawing/2014/main" id="{8430316C-3BBD-4566-AE05-6B30A3827A55}"/>
            </a:ext>
          </a:extLst>
        </xdr:cNvPr>
        <xdr:cNvSpPr/>
      </xdr:nvSpPr>
      <xdr:spPr>
        <a:xfrm>
          <a:off x="571499" y="22002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Physical Sales &amp; Gx</a:t>
          </a:r>
        </a:p>
      </xdr:txBody>
    </xdr:sp>
    <xdr:clientData/>
  </xdr:twoCellAnchor>
  <xdr:twoCellAnchor>
    <xdr:from>
      <xdr:col>0</xdr:col>
      <xdr:colOff>590549</xdr:colOff>
      <xdr:row>13</xdr:row>
      <xdr:rowOff>66676</xdr:rowOff>
    </xdr:from>
    <xdr:to>
      <xdr:col>5</xdr:col>
      <xdr:colOff>161924</xdr:colOff>
      <xdr:row>14</xdr:row>
      <xdr:rowOff>104776</xdr:rowOff>
    </xdr:to>
    <xdr:sp macro="[0]!Macro4" textlink="">
      <xdr:nvSpPr>
        <xdr:cNvPr id="7" name="Rectángulo: esquinas redondeadas 6">
          <a:hlinkClick xmlns:r="http://schemas.openxmlformats.org/officeDocument/2006/relationships" r:id="rId6"/>
          <a:extLst>
            <a:ext uri="{FF2B5EF4-FFF2-40B4-BE49-F238E27FC236}">
              <a16:creationId xmlns:a16="http://schemas.microsoft.com/office/drawing/2014/main" id="{C2691B72-17AB-432D-AE6A-B545046D686E}"/>
            </a:ext>
          </a:extLst>
        </xdr:cNvPr>
        <xdr:cNvSpPr/>
      </xdr:nvSpPr>
      <xdr:spPr>
        <a:xfrm>
          <a:off x="590549" y="25431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Income Statement</a:t>
          </a:r>
        </a:p>
      </xdr:txBody>
    </xdr:sp>
    <xdr:clientData/>
  </xdr:twoCellAnchor>
  <xdr:twoCellAnchor>
    <xdr:from>
      <xdr:col>0</xdr:col>
      <xdr:colOff>581024</xdr:colOff>
      <xdr:row>15</xdr:row>
      <xdr:rowOff>9526</xdr:rowOff>
    </xdr:from>
    <xdr:to>
      <xdr:col>5</xdr:col>
      <xdr:colOff>152399</xdr:colOff>
      <xdr:row>16</xdr:row>
      <xdr:rowOff>47626</xdr:rowOff>
    </xdr:to>
    <xdr:sp macro="[0]!Macro5" textlink="">
      <xdr:nvSpPr>
        <xdr:cNvPr id="8" name="Rectángulo: esquinas redondeadas 7">
          <a:hlinkClick xmlns:r="http://schemas.openxmlformats.org/officeDocument/2006/relationships" r:id="rId7"/>
          <a:extLst>
            <a:ext uri="{FF2B5EF4-FFF2-40B4-BE49-F238E27FC236}">
              <a16:creationId xmlns:a16="http://schemas.microsoft.com/office/drawing/2014/main" id="{841BBB58-EFDF-40EB-B638-E31F21CDB7A3}"/>
            </a:ext>
          </a:extLst>
        </xdr:cNvPr>
        <xdr:cNvSpPr/>
      </xdr:nvSpPr>
      <xdr:spPr>
        <a:xfrm>
          <a:off x="581024" y="28670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Operating Income</a:t>
          </a:r>
        </a:p>
      </xdr:txBody>
    </xdr:sp>
    <xdr:clientData/>
  </xdr:twoCellAnchor>
  <xdr:twoCellAnchor>
    <xdr:from>
      <xdr:col>0</xdr:col>
      <xdr:colOff>590549</xdr:colOff>
      <xdr:row>16</xdr:row>
      <xdr:rowOff>180976</xdr:rowOff>
    </xdr:from>
    <xdr:to>
      <xdr:col>5</xdr:col>
      <xdr:colOff>161924</xdr:colOff>
      <xdr:row>18</xdr:row>
      <xdr:rowOff>28576</xdr:rowOff>
    </xdr:to>
    <xdr:sp macro="[0]!Macro6" textlink="">
      <xdr:nvSpPr>
        <xdr:cNvPr id="9" name="Rectángulo: esquinas redondeadas 8">
          <a:hlinkClick xmlns:r="http://schemas.openxmlformats.org/officeDocument/2006/relationships" r:id="rId8"/>
          <a:extLst>
            <a:ext uri="{FF2B5EF4-FFF2-40B4-BE49-F238E27FC236}">
              <a16:creationId xmlns:a16="http://schemas.microsoft.com/office/drawing/2014/main" id="{F0F91DF8-D18A-4267-9C73-9FCFFD7B610F}"/>
            </a:ext>
          </a:extLst>
        </xdr:cNvPr>
        <xdr:cNvSpPr/>
      </xdr:nvSpPr>
      <xdr:spPr>
        <a:xfrm>
          <a:off x="590549" y="32289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Non-Operating Income</a:t>
          </a:r>
        </a:p>
      </xdr:txBody>
    </xdr:sp>
    <xdr:clientData/>
  </xdr:twoCellAnchor>
  <xdr:twoCellAnchor>
    <xdr:from>
      <xdr:col>0</xdr:col>
      <xdr:colOff>590549</xdr:colOff>
      <xdr:row>20</xdr:row>
      <xdr:rowOff>114301</xdr:rowOff>
    </xdr:from>
    <xdr:to>
      <xdr:col>5</xdr:col>
      <xdr:colOff>161924</xdr:colOff>
      <xdr:row>21</xdr:row>
      <xdr:rowOff>152401</xdr:rowOff>
    </xdr:to>
    <xdr:sp macro="[0]!Macro8" textlink="">
      <xdr:nvSpPr>
        <xdr:cNvPr id="10" name="Rectángulo: esquinas redondeadas 9">
          <a:hlinkClick xmlns:r="http://schemas.openxmlformats.org/officeDocument/2006/relationships" r:id="rId9"/>
          <a:extLst>
            <a:ext uri="{FF2B5EF4-FFF2-40B4-BE49-F238E27FC236}">
              <a16:creationId xmlns:a16="http://schemas.microsoft.com/office/drawing/2014/main" id="{5CEA5A87-C20E-471A-9E4C-CEC2FB1688EC}"/>
            </a:ext>
          </a:extLst>
        </xdr:cNvPr>
        <xdr:cNvSpPr/>
      </xdr:nvSpPr>
      <xdr:spPr>
        <a:xfrm>
          <a:off x="590549" y="39243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Main Debt Items</a:t>
          </a:r>
        </a:p>
      </xdr:txBody>
    </xdr:sp>
    <xdr:clientData/>
  </xdr:twoCellAnchor>
  <xdr:twoCellAnchor>
    <xdr:from>
      <xdr:col>0</xdr:col>
      <xdr:colOff>495300</xdr:colOff>
      <xdr:row>0</xdr:row>
      <xdr:rowOff>114300</xdr:rowOff>
    </xdr:from>
    <xdr:to>
      <xdr:col>15</xdr:col>
      <xdr:colOff>95250</xdr:colOff>
      <xdr:row>6</xdr:row>
      <xdr:rowOff>161925</xdr:rowOff>
    </xdr:to>
    <xdr:sp macro="" textlink="">
      <xdr:nvSpPr>
        <xdr:cNvPr id="17" name="CuadroTexto 10">
          <a:extLst>
            <a:ext uri="{FF2B5EF4-FFF2-40B4-BE49-F238E27FC236}">
              <a16:creationId xmlns:a16="http://schemas.microsoft.com/office/drawing/2014/main" id="{B1571970-C272-E91D-625E-73DEF8169359}"/>
            </a:ext>
          </a:extLst>
        </xdr:cNvPr>
        <xdr:cNvSpPr txBox="1"/>
      </xdr:nvSpPr>
      <xdr:spPr>
        <a:xfrm>
          <a:off x="495300" y="114300"/>
          <a:ext cx="11029950"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sz="2000" b="1">
            <a:solidFill>
              <a:schemeClr val="bg1"/>
            </a:solidFill>
            <a:latin typeface="Trebuchet MS" panose="020B0603020202020204" pitchFamily="34" charset="0"/>
          </a:endParaRPr>
        </a:p>
        <a:p>
          <a:endParaRPr lang="es-CL" sz="2000" b="1">
            <a:solidFill>
              <a:schemeClr val="bg1"/>
            </a:solidFill>
            <a:latin typeface="Trebuchet MS" panose="020B0603020202020204" pitchFamily="34" charset="0"/>
          </a:endParaRPr>
        </a:p>
        <a:p>
          <a:r>
            <a:rPr lang="es-CL" sz="2000" b="1">
              <a:solidFill>
                <a:schemeClr val="bg1"/>
              </a:solidFill>
              <a:latin typeface="Trebuchet MS" panose="020B0603020202020204" pitchFamily="34" charset="0"/>
            </a:rPr>
            <a:t>Financial</a:t>
          </a:r>
          <a:r>
            <a:rPr lang="es-CL" sz="2000" b="1" baseline="0">
              <a:solidFill>
                <a:schemeClr val="bg1"/>
              </a:solidFill>
              <a:latin typeface="Trebuchet MS" panose="020B0603020202020204" pitchFamily="34" charset="0"/>
            </a:rPr>
            <a:t> Data Chile &amp; Perú 2Q24</a:t>
          </a:r>
          <a:endParaRPr lang="es-CL" sz="2000" b="1">
            <a:solidFill>
              <a:schemeClr val="bg1"/>
            </a:solidFill>
            <a:latin typeface="Trebuchet MS" panose="020B0603020202020204" pitchFamily="34" charset="0"/>
          </a:endParaRPr>
        </a:p>
        <a:p>
          <a:endParaRPr lang="es-CL" sz="3200">
            <a:solidFill>
              <a:srgbClr val="24B40C"/>
            </a:solidFill>
            <a:latin typeface="Trebuchet MS" panose="020B0603020202020204" pitchFamily="34" charset="0"/>
          </a:endParaRPr>
        </a:p>
      </xdr:txBody>
    </xdr:sp>
    <xdr:clientData/>
  </xdr:twoCellAnchor>
  <xdr:twoCellAnchor>
    <xdr:from>
      <xdr:col>0</xdr:col>
      <xdr:colOff>504825</xdr:colOff>
      <xdr:row>6</xdr:row>
      <xdr:rowOff>57150</xdr:rowOff>
    </xdr:from>
    <xdr:to>
      <xdr:col>2</xdr:col>
      <xdr:colOff>19050</xdr:colOff>
      <xdr:row>7</xdr:row>
      <xdr:rowOff>142875</xdr:rowOff>
    </xdr:to>
    <xdr:sp macro="" textlink="">
      <xdr:nvSpPr>
        <xdr:cNvPr id="12" name="CuadroTexto 11">
          <a:extLst>
            <a:ext uri="{FF2B5EF4-FFF2-40B4-BE49-F238E27FC236}">
              <a16:creationId xmlns:a16="http://schemas.microsoft.com/office/drawing/2014/main" id="{22C25DE4-A860-E0A7-9B56-82ED2EAB4267}"/>
            </a:ext>
          </a:extLst>
        </xdr:cNvPr>
        <xdr:cNvSpPr txBox="1"/>
      </xdr:nvSpPr>
      <xdr:spPr>
        <a:xfrm>
          <a:off x="504825" y="1200150"/>
          <a:ext cx="1038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700" b="1">
              <a:solidFill>
                <a:schemeClr val="bg1"/>
              </a:solidFill>
              <a:latin typeface="Trebuchet MS" panose="020B0603020202020204" pitchFamily="34" charset="0"/>
            </a:rPr>
            <a:t>Index</a:t>
          </a:r>
        </a:p>
      </xdr:txBody>
    </xdr:sp>
    <xdr:clientData/>
  </xdr:twoCellAnchor>
  <xdr:twoCellAnchor editAs="oneCell">
    <xdr:from>
      <xdr:col>0</xdr:col>
      <xdr:colOff>447039</xdr:colOff>
      <xdr:row>0</xdr:row>
      <xdr:rowOff>66675</xdr:rowOff>
    </xdr:from>
    <xdr:to>
      <xdr:col>4</xdr:col>
      <xdr:colOff>83694</xdr:colOff>
      <xdr:row>3</xdr:row>
      <xdr:rowOff>141605</xdr:rowOff>
    </xdr:to>
    <xdr:pic>
      <xdr:nvPicPr>
        <xdr:cNvPr id="11" name="Picture 10" descr="Imagen">
          <a:extLst>
            <a:ext uri="{FF2B5EF4-FFF2-40B4-BE49-F238E27FC236}">
              <a16:creationId xmlns:a16="http://schemas.microsoft.com/office/drawing/2014/main" id="{71E8EB55-09E9-4584-B545-8E6D9C86AE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7039" y="66675"/>
          <a:ext cx="2837055" cy="617855"/>
        </a:xfrm>
        <a:prstGeom prst="rect">
          <a:avLst/>
        </a:prstGeom>
        <a:ln w="12700">
          <a:miter lim="400000"/>
        </a:ln>
      </xdr:spPr>
    </xdr:pic>
    <xdr:clientData/>
  </xdr:twoCellAnchor>
  <xdr:twoCellAnchor>
    <xdr:from>
      <xdr:col>0</xdr:col>
      <xdr:colOff>581025</xdr:colOff>
      <xdr:row>22</xdr:row>
      <xdr:rowOff>76200</xdr:rowOff>
    </xdr:from>
    <xdr:to>
      <xdr:col>5</xdr:col>
      <xdr:colOff>139700</xdr:colOff>
      <xdr:row>23</xdr:row>
      <xdr:rowOff>114300</xdr:rowOff>
    </xdr:to>
    <xdr:sp macro="" textlink="">
      <xdr:nvSpPr>
        <xdr:cNvPr id="3" name="Rectangle: Rounded Corners 2">
          <a:extLst>
            <a:ext uri="{FF2B5EF4-FFF2-40B4-BE49-F238E27FC236}">
              <a16:creationId xmlns:a16="http://schemas.microsoft.com/office/drawing/2014/main" id="{98D55E63-25D1-4803-A303-7F7AFDB03864}"/>
            </a:ext>
          </a:extLst>
        </xdr:cNvPr>
        <xdr:cNvSpPr/>
      </xdr:nvSpPr>
      <xdr:spPr>
        <a:xfrm>
          <a:off x="581025" y="405765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590550</xdr:colOff>
      <xdr:row>22</xdr:row>
      <xdr:rowOff>82550</xdr:rowOff>
    </xdr:from>
    <xdr:to>
      <xdr:col>5</xdr:col>
      <xdr:colOff>149225</xdr:colOff>
      <xdr:row>23</xdr:row>
      <xdr:rowOff>120650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7CB1607A-45CA-4012-A1F1-D28349D0EF63}"/>
            </a:ext>
          </a:extLst>
        </xdr:cNvPr>
        <xdr:cNvSpPr/>
      </xdr:nvSpPr>
      <xdr:spPr>
        <a:xfrm>
          <a:off x="590550" y="406400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Amortization Profile</a:t>
          </a:r>
        </a:p>
      </xdr:txBody>
    </xdr:sp>
    <xdr:clientData/>
  </xdr:twoCellAnchor>
  <xdr:twoCellAnchor>
    <xdr:from>
      <xdr:col>0</xdr:col>
      <xdr:colOff>587375</xdr:colOff>
      <xdr:row>24</xdr:row>
      <xdr:rowOff>38100</xdr:rowOff>
    </xdr:from>
    <xdr:to>
      <xdr:col>5</xdr:col>
      <xdr:colOff>152400</xdr:colOff>
      <xdr:row>25</xdr:row>
      <xdr:rowOff>76200</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68797B09-1A1E-43D2-ADD6-364D8346251A}"/>
            </a:ext>
          </a:extLst>
        </xdr:cNvPr>
        <xdr:cNvSpPr/>
      </xdr:nvSpPr>
      <xdr:spPr>
        <a:xfrm>
          <a:off x="587375" y="4381500"/>
          <a:ext cx="356552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Cash Flow</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52916</xdr:colOff>
      <xdr:row>0</xdr:row>
      <xdr:rowOff>105834</xdr:rowOff>
    </xdr:from>
    <xdr:to>
      <xdr:col>0</xdr:col>
      <xdr:colOff>1484842</xdr:colOff>
      <xdr:row>2</xdr:row>
      <xdr:rowOff>78326</xdr:rowOff>
    </xdr:to>
    <xdr:pic>
      <xdr:nvPicPr>
        <xdr:cNvPr id="4" name="Picture 3" descr="Imagen">
          <a:extLst>
            <a:ext uri="{FF2B5EF4-FFF2-40B4-BE49-F238E27FC236}">
              <a16:creationId xmlns:a16="http://schemas.microsoft.com/office/drawing/2014/main" id="{8D56316F-4364-40F4-BAE3-8BFBC2F52B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6" y="105834"/>
          <a:ext cx="1431926" cy="311159"/>
        </a:xfrm>
        <a:prstGeom prst="rect">
          <a:avLst/>
        </a:prstGeom>
        <a:ln w="12700">
          <a:miter lim="400000"/>
        </a:ln>
      </xdr:spPr>
    </xdr:pic>
    <xdr:clientData/>
  </xdr:twoCellAnchor>
  <xdr:twoCellAnchor>
    <xdr:from>
      <xdr:col>0</xdr:col>
      <xdr:colOff>0</xdr:colOff>
      <xdr:row>10</xdr:row>
      <xdr:rowOff>5475</xdr:rowOff>
    </xdr:from>
    <xdr:to>
      <xdr:col>0</xdr:col>
      <xdr:colOff>1487303</xdr:colOff>
      <xdr:row>13</xdr:row>
      <xdr:rowOff>50692</xdr:rowOff>
    </xdr:to>
    <xdr:grpSp>
      <xdr:nvGrpSpPr>
        <xdr:cNvPr id="13" name="Grupo 3">
          <a:extLst>
            <a:ext uri="{FF2B5EF4-FFF2-40B4-BE49-F238E27FC236}">
              <a16:creationId xmlns:a16="http://schemas.microsoft.com/office/drawing/2014/main" id="{B04F942B-9042-F694-497A-68E3063BE1A0}"/>
            </a:ext>
          </a:extLst>
        </xdr:cNvPr>
        <xdr:cNvGrpSpPr/>
      </xdr:nvGrpSpPr>
      <xdr:grpSpPr>
        <a:xfrm>
          <a:off x="0" y="1784952"/>
          <a:ext cx="1487303" cy="554693"/>
          <a:chOff x="0" y="0"/>
          <a:chExt cx="3496166" cy="1419225"/>
        </a:xfrm>
      </xdr:grpSpPr>
      <xdr:pic>
        <xdr:nvPicPr>
          <xdr:cNvPr id="14" name="Imagen 2">
            <a:extLst>
              <a:ext uri="{FF2B5EF4-FFF2-40B4-BE49-F238E27FC236}">
                <a16:creationId xmlns:a16="http://schemas.microsoft.com/office/drawing/2014/main" id="{455C9E82-5DD2-E358-B1D4-DA51DD58A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15" name="Imagen 1" descr="Logotipo&#10;&#10;Descripción generada automáticamente">
            <a:extLst>
              <a:ext uri="{FF2B5EF4-FFF2-40B4-BE49-F238E27FC236}">
                <a16:creationId xmlns:a16="http://schemas.microsoft.com/office/drawing/2014/main" id="{6B078B11-79BB-5C84-C07C-A36A8575DB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63500</xdr:colOff>
      <xdr:row>0</xdr:row>
      <xdr:rowOff>114300</xdr:rowOff>
    </xdr:from>
    <xdr:to>
      <xdr:col>1</xdr:col>
      <xdr:colOff>1492251</xdr:colOff>
      <xdr:row>2</xdr:row>
      <xdr:rowOff>76209</xdr:rowOff>
    </xdr:to>
    <xdr:pic>
      <xdr:nvPicPr>
        <xdr:cNvPr id="2" name="Picture 1" descr="Imagen">
          <a:extLst>
            <a:ext uri="{FF2B5EF4-FFF2-40B4-BE49-F238E27FC236}">
              <a16:creationId xmlns:a16="http://schemas.microsoft.com/office/drawing/2014/main" id="{1B7A16E0-8A46-47E4-AC86-4D46172AB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114300"/>
          <a:ext cx="1428751" cy="317509"/>
        </a:xfrm>
        <a:prstGeom prst="rect">
          <a:avLst/>
        </a:prstGeom>
        <a:ln w="12700">
          <a:miter lim="400000"/>
        </a:ln>
      </xdr:spPr>
    </xdr:pic>
    <xdr:clientData/>
  </xdr:twoCellAnchor>
  <xdr:twoCellAnchor>
    <xdr:from>
      <xdr:col>0</xdr:col>
      <xdr:colOff>0</xdr:colOff>
      <xdr:row>18</xdr:row>
      <xdr:rowOff>127000</xdr:rowOff>
    </xdr:from>
    <xdr:to>
      <xdr:col>1</xdr:col>
      <xdr:colOff>1487303</xdr:colOff>
      <xdr:row>22</xdr:row>
      <xdr:rowOff>3979</xdr:rowOff>
    </xdr:to>
    <xdr:grpSp>
      <xdr:nvGrpSpPr>
        <xdr:cNvPr id="5" name="Grupo 3">
          <a:extLst>
            <a:ext uri="{FF2B5EF4-FFF2-40B4-BE49-F238E27FC236}">
              <a16:creationId xmlns:a16="http://schemas.microsoft.com/office/drawing/2014/main" id="{4E14A624-339F-4BB4-AC6D-61B7910D8A12}"/>
            </a:ext>
          </a:extLst>
        </xdr:cNvPr>
        <xdr:cNvGrpSpPr/>
      </xdr:nvGrpSpPr>
      <xdr:grpSpPr>
        <a:xfrm>
          <a:off x="0" y="3096296"/>
          <a:ext cx="1487303" cy="556697"/>
          <a:chOff x="0" y="0"/>
          <a:chExt cx="3496166" cy="1419225"/>
        </a:xfrm>
      </xdr:grpSpPr>
      <xdr:pic>
        <xdr:nvPicPr>
          <xdr:cNvPr id="6" name="Imagen 2">
            <a:extLst>
              <a:ext uri="{FF2B5EF4-FFF2-40B4-BE49-F238E27FC236}">
                <a16:creationId xmlns:a16="http://schemas.microsoft.com/office/drawing/2014/main" id="{CAD7FD35-B2C7-EFDE-8011-1F17ED8AC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7" name="Imagen 1" descr="Logotipo&#10;&#10;Descripción generada automáticamente">
            <a:extLst>
              <a:ext uri="{FF2B5EF4-FFF2-40B4-BE49-F238E27FC236}">
                <a16:creationId xmlns:a16="http://schemas.microsoft.com/office/drawing/2014/main" id="{EF151F2D-AAF9-97C0-0EED-25CF805D5A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74083</xdr:colOff>
      <xdr:row>0</xdr:row>
      <xdr:rowOff>95250</xdr:rowOff>
    </xdr:from>
    <xdr:to>
      <xdr:col>1</xdr:col>
      <xdr:colOff>1493309</xdr:colOff>
      <xdr:row>2</xdr:row>
      <xdr:rowOff>67742</xdr:rowOff>
    </xdr:to>
    <xdr:pic>
      <xdr:nvPicPr>
        <xdr:cNvPr id="2" name="Picture 1" descr="Imagen">
          <a:extLst>
            <a:ext uri="{FF2B5EF4-FFF2-40B4-BE49-F238E27FC236}">
              <a16:creationId xmlns:a16="http://schemas.microsoft.com/office/drawing/2014/main" id="{44E06FEA-24A4-4717-85EF-F0E39FACB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95250"/>
          <a:ext cx="1425576" cy="311159"/>
        </a:xfrm>
        <a:prstGeom prst="rect">
          <a:avLst/>
        </a:prstGeom>
        <a:ln w="12700">
          <a:miter lim="400000"/>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11281</xdr:colOff>
      <xdr:row>0</xdr:row>
      <xdr:rowOff>95250</xdr:rowOff>
    </xdr:from>
    <xdr:to>
      <xdr:col>0</xdr:col>
      <xdr:colOff>1436857</xdr:colOff>
      <xdr:row>2</xdr:row>
      <xdr:rowOff>67742</xdr:rowOff>
    </xdr:to>
    <xdr:pic>
      <xdr:nvPicPr>
        <xdr:cNvPr id="2" name="Picture 1" descr="Imagen">
          <a:extLst>
            <a:ext uri="{FF2B5EF4-FFF2-40B4-BE49-F238E27FC236}">
              <a16:creationId xmlns:a16="http://schemas.microsoft.com/office/drawing/2014/main" id="{D2BBD9E0-5AB4-486A-9F48-5DC763C21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1830" y="95250"/>
          <a:ext cx="1422401" cy="304262"/>
        </a:xfrm>
        <a:prstGeom prst="rect">
          <a:avLst/>
        </a:prstGeom>
        <a:ln w="12700">
          <a:miter lim="400000"/>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58554</xdr:colOff>
      <xdr:row>0</xdr:row>
      <xdr:rowOff>88506</xdr:rowOff>
    </xdr:from>
    <xdr:to>
      <xdr:col>1</xdr:col>
      <xdr:colOff>1487305</xdr:colOff>
      <xdr:row>2</xdr:row>
      <xdr:rowOff>64223</xdr:rowOff>
    </xdr:to>
    <xdr:pic>
      <xdr:nvPicPr>
        <xdr:cNvPr id="2" name="Picture 1" descr="Imagen">
          <a:extLst>
            <a:ext uri="{FF2B5EF4-FFF2-40B4-BE49-F238E27FC236}">
              <a16:creationId xmlns:a16="http://schemas.microsoft.com/office/drawing/2014/main" id="{32735FF6-442D-2903-89E7-AA8DB3223A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54" y="88506"/>
          <a:ext cx="1428751" cy="307984"/>
        </a:xfrm>
        <a:prstGeom prst="rect">
          <a:avLst/>
        </a:prstGeom>
        <a:ln w="12700">
          <a:miter lim="400000"/>
        </a:ln>
      </xdr:spPr>
    </xdr:pic>
    <xdr:clientData/>
  </xdr:twoCellAnchor>
  <xdr:twoCellAnchor>
    <xdr:from>
      <xdr:col>0</xdr:col>
      <xdr:colOff>0</xdr:colOff>
      <xdr:row>29</xdr:row>
      <xdr:rowOff>162442</xdr:rowOff>
    </xdr:from>
    <xdr:to>
      <xdr:col>1</xdr:col>
      <xdr:colOff>1487303</xdr:colOff>
      <xdr:row>33</xdr:row>
      <xdr:rowOff>37452</xdr:rowOff>
    </xdr:to>
    <xdr:grpSp>
      <xdr:nvGrpSpPr>
        <xdr:cNvPr id="3" name="Grupo 3">
          <a:extLst>
            <a:ext uri="{FF2B5EF4-FFF2-40B4-BE49-F238E27FC236}">
              <a16:creationId xmlns:a16="http://schemas.microsoft.com/office/drawing/2014/main" id="{016C9926-FD9A-46AE-AEBD-598A1358FCF5}"/>
            </a:ext>
          </a:extLst>
        </xdr:cNvPr>
        <xdr:cNvGrpSpPr/>
      </xdr:nvGrpSpPr>
      <xdr:grpSpPr>
        <a:xfrm>
          <a:off x="0" y="4691310"/>
          <a:ext cx="1487303" cy="545953"/>
          <a:chOff x="0" y="0"/>
          <a:chExt cx="3496166" cy="1419225"/>
        </a:xfrm>
      </xdr:grpSpPr>
      <xdr:pic>
        <xdr:nvPicPr>
          <xdr:cNvPr id="4" name="Imagen 2">
            <a:extLst>
              <a:ext uri="{FF2B5EF4-FFF2-40B4-BE49-F238E27FC236}">
                <a16:creationId xmlns:a16="http://schemas.microsoft.com/office/drawing/2014/main" id="{2A825152-B70D-3697-8E66-CEEF311B3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8E896DEB-B096-589B-123D-B7CF5B1290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16144</xdr:colOff>
      <xdr:row>0</xdr:row>
      <xdr:rowOff>88792</xdr:rowOff>
    </xdr:from>
    <xdr:to>
      <xdr:col>1</xdr:col>
      <xdr:colOff>1444895</xdr:colOff>
      <xdr:row>2</xdr:row>
      <xdr:rowOff>64101</xdr:rowOff>
    </xdr:to>
    <xdr:pic>
      <xdr:nvPicPr>
        <xdr:cNvPr id="2" name="Picture 1" descr="Imagen">
          <a:extLst>
            <a:ext uri="{FF2B5EF4-FFF2-40B4-BE49-F238E27FC236}">
              <a16:creationId xmlns:a16="http://schemas.microsoft.com/office/drawing/2014/main" id="{FBC88168-8470-4C22-BAD0-FE64B195E7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44" y="88792"/>
          <a:ext cx="1428751" cy="317509"/>
        </a:xfrm>
        <a:prstGeom prst="rect">
          <a:avLst/>
        </a:prstGeom>
        <a:ln w="12700">
          <a:miter lim="400000"/>
        </a:ln>
      </xdr:spPr>
    </xdr:pic>
    <xdr:clientData/>
  </xdr:twoCellAnchor>
  <xdr:twoCellAnchor editAs="oneCell">
    <xdr:from>
      <xdr:col>6</xdr:col>
      <xdr:colOff>758772</xdr:colOff>
      <xdr:row>0</xdr:row>
      <xdr:rowOff>104937</xdr:rowOff>
    </xdr:from>
    <xdr:to>
      <xdr:col>7</xdr:col>
      <xdr:colOff>1388391</xdr:colOff>
      <xdr:row>2</xdr:row>
      <xdr:rowOff>86596</xdr:rowOff>
    </xdr:to>
    <xdr:pic>
      <xdr:nvPicPr>
        <xdr:cNvPr id="5" name="Picture 4" descr="Imagen">
          <a:extLst>
            <a:ext uri="{FF2B5EF4-FFF2-40B4-BE49-F238E27FC236}">
              <a16:creationId xmlns:a16="http://schemas.microsoft.com/office/drawing/2014/main" id="{075F844E-0C7D-4673-B9C0-4932AD743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9026" y="104937"/>
          <a:ext cx="1428751" cy="317509"/>
        </a:xfrm>
        <a:prstGeom prst="rect">
          <a:avLst/>
        </a:prstGeom>
        <a:ln w="12700">
          <a:miter lim="400000"/>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103982</xdr:colOff>
      <xdr:row>1</xdr:row>
      <xdr:rowOff>-1</xdr:rowOff>
    </xdr:from>
    <xdr:to>
      <xdr:col>1</xdr:col>
      <xdr:colOff>1846186</xdr:colOff>
      <xdr:row>3</xdr:row>
      <xdr:rowOff>46046</xdr:rowOff>
    </xdr:to>
    <xdr:pic>
      <xdr:nvPicPr>
        <xdr:cNvPr id="4" name="Picture 3" descr="Imagen">
          <a:extLst>
            <a:ext uri="{FF2B5EF4-FFF2-40B4-BE49-F238E27FC236}">
              <a16:creationId xmlns:a16="http://schemas.microsoft.com/office/drawing/2014/main" id="{E132BB6C-CACF-4D8A-A5B7-4C5573D23B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2" y="166687"/>
          <a:ext cx="1742204" cy="379422"/>
        </a:xfrm>
        <a:prstGeom prst="rect">
          <a:avLst/>
        </a:prstGeom>
        <a:ln w="12700">
          <a:miter lim="400000"/>
        </a:ln>
      </xdr:spPr>
    </xdr:pic>
    <xdr:clientData/>
  </xdr:twoCellAnchor>
  <xdr:twoCellAnchor>
    <xdr:from>
      <xdr:col>0</xdr:col>
      <xdr:colOff>0</xdr:colOff>
      <xdr:row>37</xdr:row>
      <xdr:rowOff>166687</xdr:rowOff>
    </xdr:from>
    <xdr:to>
      <xdr:col>1</xdr:col>
      <xdr:colOff>1487303</xdr:colOff>
      <xdr:row>38</xdr:row>
      <xdr:rowOff>355874</xdr:rowOff>
    </xdr:to>
    <xdr:grpSp>
      <xdr:nvGrpSpPr>
        <xdr:cNvPr id="2" name="Grupo 3">
          <a:extLst>
            <a:ext uri="{FF2B5EF4-FFF2-40B4-BE49-F238E27FC236}">
              <a16:creationId xmlns:a16="http://schemas.microsoft.com/office/drawing/2014/main" id="{954E5322-D4C7-4450-B16B-975CFFC7E800}"/>
            </a:ext>
          </a:extLst>
        </xdr:cNvPr>
        <xdr:cNvGrpSpPr/>
      </xdr:nvGrpSpPr>
      <xdr:grpSpPr>
        <a:xfrm>
          <a:off x="0" y="6887791"/>
          <a:ext cx="1487303" cy="552044"/>
          <a:chOff x="0" y="0"/>
          <a:chExt cx="3496166" cy="1419225"/>
        </a:xfrm>
      </xdr:grpSpPr>
      <xdr:pic>
        <xdr:nvPicPr>
          <xdr:cNvPr id="5" name="Imagen 2">
            <a:extLst>
              <a:ext uri="{FF2B5EF4-FFF2-40B4-BE49-F238E27FC236}">
                <a16:creationId xmlns:a16="http://schemas.microsoft.com/office/drawing/2014/main" id="{11AF7B12-2EDC-89A1-8C45-EAF539FF5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5D72B356-BC30-6579-19C5-CFCEE268F6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83344</xdr:rowOff>
    </xdr:from>
    <xdr:to>
      <xdr:col>1</xdr:col>
      <xdr:colOff>1476376</xdr:colOff>
      <xdr:row>2</xdr:row>
      <xdr:rowOff>64303</xdr:rowOff>
    </xdr:to>
    <xdr:pic>
      <xdr:nvPicPr>
        <xdr:cNvPr id="4" name="Picture 3" descr="Imagen">
          <a:extLst>
            <a:ext uri="{FF2B5EF4-FFF2-40B4-BE49-F238E27FC236}">
              <a16:creationId xmlns:a16="http://schemas.microsoft.com/office/drawing/2014/main" id="{03B98B44-77E1-44D1-A53C-6ECAD14A77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83344"/>
          <a:ext cx="1428751" cy="314334"/>
        </a:xfrm>
        <a:prstGeom prst="rect">
          <a:avLst/>
        </a:prstGeom>
        <a:ln w="12700">
          <a:miter lim="400000"/>
        </a:ln>
      </xdr:spPr>
    </xdr:pic>
    <xdr:clientData/>
  </xdr:twoCellAnchor>
  <xdr:twoCellAnchor>
    <xdr:from>
      <xdr:col>0</xdr:col>
      <xdr:colOff>0</xdr:colOff>
      <xdr:row>23</xdr:row>
      <xdr:rowOff>119062</xdr:rowOff>
    </xdr:from>
    <xdr:to>
      <xdr:col>1</xdr:col>
      <xdr:colOff>1487303</xdr:colOff>
      <xdr:row>26</xdr:row>
      <xdr:rowOff>149499</xdr:rowOff>
    </xdr:to>
    <xdr:grpSp>
      <xdr:nvGrpSpPr>
        <xdr:cNvPr id="2" name="Grupo 3">
          <a:extLst>
            <a:ext uri="{FF2B5EF4-FFF2-40B4-BE49-F238E27FC236}">
              <a16:creationId xmlns:a16="http://schemas.microsoft.com/office/drawing/2014/main" id="{2B6575D8-DE1C-4C9D-8EC6-9E6AB9EEEADF}"/>
            </a:ext>
          </a:extLst>
        </xdr:cNvPr>
        <xdr:cNvGrpSpPr/>
      </xdr:nvGrpSpPr>
      <xdr:grpSpPr>
        <a:xfrm>
          <a:off x="0" y="3467244"/>
          <a:ext cx="1487303" cy="549982"/>
          <a:chOff x="0" y="0"/>
          <a:chExt cx="3496166" cy="1419225"/>
        </a:xfrm>
      </xdr:grpSpPr>
      <xdr:pic>
        <xdr:nvPicPr>
          <xdr:cNvPr id="7" name="Imagen 2">
            <a:extLst>
              <a:ext uri="{FF2B5EF4-FFF2-40B4-BE49-F238E27FC236}">
                <a16:creationId xmlns:a16="http://schemas.microsoft.com/office/drawing/2014/main" id="{A87F2484-5D6B-3C44-B119-EBC8AB9CA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68549EA-3356-53B1-7584-00EE614821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63499</xdr:colOff>
      <xdr:row>0</xdr:row>
      <xdr:rowOff>84667</xdr:rowOff>
    </xdr:from>
    <xdr:to>
      <xdr:col>1</xdr:col>
      <xdr:colOff>1495425</xdr:colOff>
      <xdr:row>2</xdr:row>
      <xdr:rowOff>63509</xdr:rowOff>
    </xdr:to>
    <xdr:pic>
      <xdr:nvPicPr>
        <xdr:cNvPr id="2" name="Picture 1" descr="Imagen">
          <a:extLst>
            <a:ext uri="{FF2B5EF4-FFF2-40B4-BE49-F238E27FC236}">
              <a16:creationId xmlns:a16="http://schemas.microsoft.com/office/drawing/2014/main" id="{B377DFD6-604E-43A3-9B12-78BD231768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99" y="84667"/>
          <a:ext cx="1425576" cy="317509"/>
        </a:xfrm>
        <a:prstGeom prst="rect">
          <a:avLst/>
        </a:prstGeom>
        <a:ln w="12700">
          <a:miter lim="400000"/>
        </a:ln>
      </xdr:spPr>
    </xdr:pic>
    <xdr:clientData/>
  </xdr:twoCellAnchor>
  <xdr:twoCellAnchor>
    <xdr:from>
      <xdr:col>0</xdr:col>
      <xdr:colOff>0</xdr:colOff>
      <xdr:row>18</xdr:row>
      <xdr:rowOff>113168</xdr:rowOff>
    </xdr:from>
    <xdr:to>
      <xdr:col>1</xdr:col>
      <xdr:colOff>1487303</xdr:colOff>
      <xdr:row>21</xdr:row>
      <xdr:rowOff>158222</xdr:rowOff>
    </xdr:to>
    <xdr:grpSp>
      <xdr:nvGrpSpPr>
        <xdr:cNvPr id="4" name="Grupo 3">
          <a:extLst>
            <a:ext uri="{FF2B5EF4-FFF2-40B4-BE49-F238E27FC236}">
              <a16:creationId xmlns:a16="http://schemas.microsoft.com/office/drawing/2014/main" id="{E51D7972-6585-4107-83FB-0E7CCDEBDDE4}"/>
            </a:ext>
          </a:extLst>
        </xdr:cNvPr>
        <xdr:cNvGrpSpPr/>
      </xdr:nvGrpSpPr>
      <xdr:grpSpPr>
        <a:xfrm>
          <a:off x="0" y="2829864"/>
          <a:ext cx="1487303" cy="558575"/>
          <a:chOff x="0" y="0"/>
          <a:chExt cx="3496166" cy="1419225"/>
        </a:xfrm>
      </xdr:grpSpPr>
      <xdr:pic>
        <xdr:nvPicPr>
          <xdr:cNvPr id="5" name="Imagen 2">
            <a:extLst>
              <a:ext uri="{FF2B5EF4-FFF2-40B4-BE49-F238E27FC236}">
                <a16:creationId xmlns:a16="http://schemas.microsoft.com/office/drawing/2014/main" id="{D023F590-CC67-856F-F6E5-79E3B647D6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CCB15E4F-80C6-A47D-5597-DBA2E500A7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101600</xdr:rowOff>
    </xdr:from>
    <xdr:to>
      <xdr:col>0</xdr:col>
      <xdr:colOff>1466851</xdr:colOff>
      <xdr:row>2</xdr:row>
      <xdr:rowOff>66684</xdr:rowOff>
    </xdr:to>
    <xdr:pic>
      <xdr:nvPicPr>
        <xdr:cNvPr id="2" name="Picture 1" descr="Imagen">
          <a:extLst>
            <a:ext uri="{FF2B5EF4-FFF2-40B4-BE49-F238E27FC236}">
              <a16:creationId xmlns:a16="http://schemas.microsoft.com/office/drawing/2014/main" id="{9805B72A-C4D2-460F-B1C4-4019E2F936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1600"/>
          <a:ext cx="1428751" cy="317509"/>
        </a:xfrm>
        <a:prstGeom prst="rect">
          <a:avLst/>
        </a:prstGeom>
        <a:ln w="12700">
          <a:miter lim="400000"/>
        </a:ln>
      </xdr:spPr>
    </xdr:pic>
    <xdr:clientData/>
  </xdr:twoCellAnchor>
  <xdr:twoCellAnchor>
    <xdr:from>
      <xdr:col>0</xdr:col>
      <xdr:colOff>0</xdr:colOff>
      <xdr:row>13</xdr:row>
      <xdr:rowOff>143934</xdr:rowOff>
    </xdr:from>
    <xdr:to>
      <xdr:col>0</xdr:col>
      <xdr:colOff>1487303</xdr:colOff>
      <xdr:row>17</xdr:row>
      <xdr:rowOff>20912</xdr:rowOff>
    </xdr:to>
    <xdr:grpSp>
      <xdr:nvGrpSpPr>
        <xdr:cNvPr id="3" name="Grupo 3">
          <a:extLst>
            <a:ext uri="{FF2B5EF4-FFF2-40B4-BE49-F238E27FC236}">
              <a16:creationId xmlns:a16="http://schemas.microsoft.com/office/drawing/2014/main" id="{C5CA6FBD-C647-407A-829A-10BFC42DFAB6}"/>
            </a:ext>
          </a:extLst>
        </xdr:cNvPr>
        <xdr:cNvGrpSpPr/>
      </xdr:nvGrpSpPr>
      <xdr:grpSpPr>
        <a:xfrm>
          <a:off x="0" y="2467764"/>
          <a:ext cx="1487303" cy="552510"/>
          <a:chOff x="0" y="0"/>
          <a:chExt cx="3496166" cy="1419225"/>
        </a:xfrm>
      </xdr:grpSpPr>
      <xdr:pic>
        <xdr:nvPicPr>
          <xdr:cNvPr id="5" name="Imagen 2">
            <a:extLst>
              <a:ext uri="{FF2B5EF4-FFF2-40B4-BE49-F238E27FC236}">
                <a16:creationId xmlns:a16="http://schemas.microsoft.com/office/drawing/2014/main" id="{217DBEA1-A111-BEB3-7977-513CE0C212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28CD27F0-0A85-1F70-7218-240FFE607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
  <sheetViews>
    <sheetView showGridLines="0" workbookViewId="0"/>
  </sheetViews>
  <sheetFormatPr baseColWidth="10" defaultColWidth="11.453125"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tint="0.79998168889431442"/>
  </sheetPr>
  <dimension ref="A4:N23"/>
  <sheetViews>
    <sheetView zoomScale="86" zoomScaleNormal="86" workbookViewId="0">
      <selection activeCell="Q48" sqref="Q48"/>
    </sheetView>
  </sheetViews>
  <sheetFormatPr baseColWidth="10" defaultColWidth="11.453125" defaultRowHeight="13.5"/>
  <cols>
    <col min="1" max="1" width="27.453125" style="45" customWidth="1"/>
    <col min="2" max="4" width="7.54296875" style="45" hidden="1" customWidth="1"/>
    <col min="5" max="14" width="7.54296875" style="45" customWidth="1"/>
    <col min="15" max="17" width="8" style="45" customWidth="1"/>
    <col min="18" max="16384" width="11.453125" style="45"/>
  </cols>
  <sheetData>
    <row r="4" spans="1:14" ht="23.5">
      <c r="A4" s="11" t="s">
        <v>0</v>
      </c>
      <c r="B4" s="12"/>
      <c r="C4" s="12"/>
      <c r="D4" s="12"/>
      <c r="E4" s="12"/>
      <c r="F4" s="12"/>
      <c r="G4" s="12"/>
      <c r="H4" s="12"/>
      <c r="I4" s="12"/>
      <c r="J4" s="12"/>
      <c r="K4" s="12"/>
      <c r="L4" s="12"/>
      <c r="M4" s="12"/>
      <c r="N4" s="12"/>
    </row>
    <row r="5" spans="1:14" ht="14.25" customHeight="1">
      <c r="A5" s="1"/>
      <c r="B5" s="1"/>
    </row>
    <row r="6" spans="1:14">
      <c r="A6" s="3" t="s">
        <v>205</v>
      </c>
      <c r="B6" s="138">
        <v>2018</v>
      </c>
      <c r="C6" s="138">
        <v>2021</v>
      </c>
      <c r="D6" s="138">
        <v>2022</v>
      </c>
      <c r="E6" s="138">
        <v>2023</v>
      </c>
      <c r="F6" s="138">
        <v>2024</v>
      </c>
      <c r="G6" s="138">
        <v>2025</v>
      </c>
      <c r="H6" s="138">
        <v>2026</v>
      </c>
      <c r="I6" s="138">
        <v>2027</v>
      </c>
      <c r="J6" s="138">
        <v>2028</v>
      </c>
      <c r="K6" s="138">
        <v>2029</v>
      </c>
      <c r="L6" s="138">
        <v>2030</v>
      </c>
      <c r="M6" s="138">
        <v>2031</v>
      </c>
      <c r="N6" s="138">
        <v>2032</v>
      </c>
    </row>
    <row r="7" spans="1:14">
      <c r="A7" s="3" t="s">
        <v>140</v>
      </c>
      <c r="B7" s="138"/>
      <c r="C7" s="138"/>
      <c r="D7" s="138"/>
      <c r="E7" s="138"/>
      <c r="F7" s="138"/>
      <c r="G7" s="138"/>
      <c r="H7" s="138"/>
      <c r="I7" s="138"/>
      <c r="J7" s="138"/>
      <c r="K7" s="138"/>
      <c r="L7" s="138"/>
      <c r="M7" s="138"/>
      <c r="N7" s="138"/>
    </row>
    <row r="8" spans="1:14" ht="8.25" customHeight="1">
      <c r="A8" s="1"/>
      <c r="B8" s="1"/>
    </row>
    <row r="9" spans="1:14" ht="14.5">
      <c r="A9" s="5" t="s">
        <v>206</v>
      </c>
      <c r="B9" s="7">
        <v>0</v>
      </c>
      <c r="C9" s="68"/>
      <c r="D9" s="68"/>
      <c r="E9" s="68"/>
      <c r="F9" s="68"/>
      <c r="G9" s="68">
        <v>0</v>
      </c>
      <c r="H9" s="68">
        <v>0</v>
      </c>
      <c r="I9" s="68">
        <v>500</v>
      </c>
      <c r="J9" s="68">
        <v>0</v>
      </c>
      <c r="K9" s="68">
        <v>160</v>
      </c>
      <c r="L9" s="68">
        <v>500</v>
      </c>
      <c r="M9" s="68">
        <v>0</v>
      </c>
      <c r="N9" s="68">
        <v>600</v>
      </c>
    </row>
    <row r="14" spans="1:14" ht="23.5">
      <c r="A14" s="11" t="s">
        <v>37</v>
      </c>
      <c r="B14" s="12"/>
      <c r="C14" s="12"/>
      <c r="D14" s="12"/>
      <c r="E14" s="12"/>
      <c r="F14" s="12"/>
      <c r="G14" s="12"/>
      <c r="H14" s="12"/>
      <c r="I14" s="12"/>
      <c r="J14" s="12"/>
      <c r="K14" s="12"/>
      <c r="L14" s="12"/>
      <c r="M14" s="12"/>
      <c r="N14" s="12"/>
    </row>
    <row r="15" spans="1:14" ht="13.5" customHeight="1">
      <c r="A15" s="1"/>
      <c r="B15" s="1"/>
    </row>
    <row r="16" spans="1:14">
      <c r="A16" s="3" t="s">
        <v>205</v>
      </c>
      <c r="B16" s="138">
        <v>2018</v>
      </c>
      <c r="C16" s="138">
        <v>2021</v>
      </c>
      <c r="D16" s="138">
        <v>2022</v>
      </c>
      <c r="E16" s="138">
        <v>2023</v>
      </c>
      <c r="F16" s="138">
        <v>2024</v>
      </c>
      <c r="G16" s="138">
        <v>2025</v>
      </c>
      <c r="H16" s="138">
        <v>2026</v>
      </c>
      <c r="I16" s="138">
        <v>2027</v>
      </c>
      <c r="J16" s="142">
        <v>2028</v>
      </c>
      <c r="K16" s="138">
        <v>2029</v>
      </c>
      <c r="L16" s="138">
        <v>2030</v>
      </c>
      <c r="M16" s="138">
        <v>2031</v>
      </c>
      <c r="N16" s="138">
        <v>2032</v>
      </c>
    </row>
    <row r="17" spans="1:14">
      <c r="A17" s="3" t="s">
        <v>140</v>
      </c>
      <c r="B17" s="138"/>
      <c r="C17" s="138"/>
      <c r="D17" s="138"/>
      <c r="E17" s="138"/>
      <c r="F17" s="138"/>
      <c r="G17" s="138"/>
      <c r="H17" s="138"/>
      <c r="I17" s="138"/>
      <c r="J17" s="142"/>
      <c r="K17" s="138"/>
      <c r="L17" s="138"/>
      <c r="M17" s="138"/>
      <c r="N17" s="138"/>
    </row>
    <row r="18" spans="1:14">
      <c r="A18" s="1"/>
      <c r="B18" s="1"/>
    </row>
    <row r="19" spans="1:14" ht="14.5">
      <c r="A19" s="5" t="s">
        <v>38</v>
      </c>
      <c r="B19" s="7">
        <v>0</v>
      </c>
      <c r="C19" s="67"/>
      <c r="D19" s="67">
        <v>0</v>
      </c>
      <c r="E19" s="67"/>
      <c r="F19" s="67">
        <v>12</v>
      </c>
      <c r="G19" s="67">
        <v>16</v>
      </c>
      <c r="H19" s="67">
        <v>18</v>
      </c>
      <c r="I19" s="67">
        <v>168</v>
      </c>
      <c r="J19" s="54">
        <v>0</v>
      </c>
      <c r="K19" s="54">
        <v>0</v>
      </c>
      <c r="L19" s="54">
        <v>0</v>
      </c>
      <c r="M19" s="54">
        <v>0</v>
      </c>
      <c r="N19" s="54">
        <v>0</v>
      </c>
    </row>
    <row r="21" spans="1:14">
      <c r="A21" s="1" t="s">
        <v>207</v>
      </c>
      <c r="B21" s="1"/>
      <c r="C21" s="1"/>
      <c r="D21" s="1"/>
      <c r="E21" s="1"/>
      <c r="F21" s="1"/>
      <c r="G21" s="1"/>
      <c r="H21" s="1"/>
      <c r="I21" s="1"/>
    </row>
    <row r="22" spans="1:14">
      <c r="A22" s="1"/>
      <c r="B22" s="1"/>
      <c r="C22" s="1"/>
      <c r="D22" s="1"/>
      <c r="E22" s="1"/>
      <c r="F22" s="1"/>
    </row>
    <row r="23" spans="1:14">
      <c r="A23" s="1"/>
      <c r="B23" s="1"/>
      <c r="C23" s="1"/>
      <c r="D23" s="1"/>
      <c r="E23" s="1"/>
      <c r="F23" s="1"/>
    </row>
  </sheetData>
  <mergeCells count="26">
    <mergeCell ref="B16:B17"/>
    <mergeCell ref="C16:C17"/>
    <mergeCell ref="D16:D17"/>
    <mergeCell ref="L6:L7"/>
    <mergeCell ref="L16:L17"/>
    <mergeCell ref="K6:K7"/>
    <mergeCell ref="C6:C7"/>
    <mergeCell ref="D6:D7"/>
    <mergeCell ref="J6:J7"/>
    <mergeCell ref="I6:I7"/>
    <mergeCell ref="M16:M17"/>
    <mergeCell ref="N16:N17"/>
    <mergeCell ref="M6:M7"/>
    <mergeCell ref="N6:N7"/>
    <mergeCell ref="B6:B7"/>
    <mergeCell ref="J16:J17"/>
    <mergeCell ref="K16:K17"/>
    <mergeCell ref="F16:F17"/>
    <mergeCell ref="G16:G17"/>
    <mergeCell ref="H16:H17"/>
    <mergeCell ref="I16:I17"/>
    <mergeCell ref="E6:E7"/>
    <mergeCell ref="E16:E17"/>
    <mergeCell ref="F6:F7"/>
    <mergeCell ref="G6:G7"/>
    <mergeCell ref="H6:H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4:AZ40"/>
  <sheetViews>
    <sheetView topLeftCell="V1" zoomScale="71" zoomScaleNormal="71" workbookViewId="0">
      <selection activeCell="AW25" sqref="AW25:AX26"/>
    </sheetView>
  </sheetViews>
  <sheetFormatPr baseColWidth="10" defaultColWidth="11.453125" defaultRowHeight="13.5"/>
  <cols>
    <col min="1" max="1" width="0" style="1" hidden="1" customWidth="1"/>
    <col min="2" max="2" width="57" style="1" customWidth="1"/>
    <col min="3" max="6" width="11.453125" style="1"/>
    <col min="7" max="7" width="11.453125" style="56"/>
    <col min="8" max="8" width="55.54296875" style="1" customWidth="1"/>
    <col min="9" max="16" width="11.453125" style="1" hidden="1" customWidth="1"/>
    <col min="17" max="50" width="11.453125" style="1" customWidth="1"/>
    <col min="51" max="16384" width="11.453125" style="1"/>
  </cols>
  <sheetData>
    <row r="4" spans="1:51"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row>
    <row r="6" spans="1:51">
      <c r="A6" s="1">
        <v>1</v>
      </c>
      <c r="B6" s="3" t="s">
        <v>208</v>
      </c>
      <c r="C6" s="138" t="s">
        <v>112</v>
      </c>
      <c r="D6" s="138" t="s">
        <v>221</v>
      </c>
      <c r="E6" s="138" t="s">
        <v>75</v>
      </c>
      <c r="G6" s="56">
        <v>1</v>
      </c>
      <c r="H6" s="3" t="s">
        <v>208</v>
      </c>
      <c r="I6" s="138" t="s">
        <v>76</v>
      </c>
      <c r="J6" s="138" t="s">
        <v>77</v>
      </c>
      <c r="K6" s="138" t="s">
        <v>78</v>
      </c>
      <c r="L6" s="138" t="s">
        <v>79</v>
      </c>
      <c r="M6" s="138" t="s">
        <v>80</v>
      </c>
      <c r="N6" s="138" t="s">
        <v>81</v>
      </c>
      <c r="O6" s="138" t="s">
        <v>82</v>
      </c>
      <c r="P6" s="138" t="s">
        <v>83</v>
      </c>
      <c r="Q6" s="138" t="s">
        <v>84</v>
      </c>
      <c r="R6" s="138" t="s">
        <v>85</v>
      </c>
      <c r="S6" s="138" t="s">
        <v>86</v>
      </c>
      <c r="T6" s="138" t="s">
        <v>87</v>
      </c>
      <c r="U6" s="138" t="s">
        <v>88</v>
      </c>
      <c r="V6" s="138" t="s">
        <v>89</v>
      </c>
      <c r="W6" s="138" t="s">
        <v>90</v>
      </c>
      <c r="X6" s="138" t="s">
        <v>91</v>
      </c>
      <c r="Y6" s="138" t="s">
        <v>92</v>
      </c>
      <c r="Z6" s="138" t="s">
        <v>93</v>
      </c>
      <c r="AA6" s="138" t="s">
        <v>94</v>
      </c>
      <c r="AB6" s="138" t="s">
        <v>95</v>
      </c>
      <c r="AC6" s="138" t="s">
        <v>96</v>
      </c>
      <c r="AD6" s="138" t="s">
        <v>97</v>
      </c>
      <c r="AE6" s="138" t="s">
        <v>98</v>
      </c>
      <c r="AF6" s="138" t="s">
        <v>99</v>
      </c>
      <c r="AG6" s="138" t="s">
        <v>100</v>
      </c>
      <c r="AH6" s="138" t="s">
        <v>101</v>
      </c>
      <c r="AI6" s="138" t="s">
        <v>102</v>
      </c>
      <c r="AJ6" s="138" t="s">
        <v>103</v>
      </c>
      <c r="AK6" s="138" t="s">
        <v>104</v>
      </c>
      <c r="AL6" s="138" t="s">
        <v>105</v>
      </c>
      <c r="AM6" s="138" t="s">
        <v>106</v>
      </c>
      <c r="AN6" s="138" t="s">
        <v>107</v>
      </c>
      <c r="AO6" s="138" t="s">
        <v>108</v>
      </c>
      <c r="AP6" s="138" t="s">
        <v>109</v>
      </c>
      <c r="AQ6" s="138" t="s">
        <v>110</v>
      </c>
      <c r="AR6" s="138" t="s">
        <v>111</v>
      </c>
      <c r="AS6" s="138" t="s">
        <v>73</v>
      </c>
      <c r="AT6" s="138" t="s">
        <v>112</v>
      </c>
      <c r="AU6" s="138" t="s">
        <v>113</v>
      </c>
      <c r="AV6" s="138" t="s">
        <v>114</v>
      </c>
      <c r="AW6" s="138" t="s">
        <v>74</v>
      </c>
      <c r="AX6" s="138" t="s">
        <v>221</v>
      </c>
    </row>
    <row r="7" spans="1:51">
      <c r="A7" s="1">
        <v>2</v>
      </c>
      <c r="B7" s="3" t="s">
        <v>140</v>
      </c>
      <c r="C7" s="138"/>
      <c r="D7" s="138"/>
      <c r="E7" s="138"/>
      <c r="G7" s="56">
        <f>G6+1</f>
        <v>2</v>
      </c>
      <c r="H7" s="3" t="s">
        <v>140</v>
      </c>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row>
    <row r="8" spans="1:51">
      <c r="A8" s="1">
        <v>3</v>
      </c>
      <c r="G8" s="56">
        <f t="shared" ref="G8:G18" si="0">G7+1</f>
        <v>3</v>
      </c>
    </row>
    <row r="9" spans="1:51">
      <c r="A9" s="1">
        <v>4</v>
      </c>
      <c r="B9" s="6" t="s">
        <v>209</v>
      </c>
      <c r="C9" s="9">
        <f t="shared" ref="C9" si="1">HLOOKUP($C$6,$H$6:$BP$18,$G9,FALSE)</f>
        <v>985.32754586981616</v>
      </c>
      <c r="D9" s="9">
        <f>HLOOKUP($D$6,$H$6:$BP$18,$G9,FALSE)</f>
        <v>913.52394420999997</v>
      </c>
      <c r="E9" s="37">
        <f>D9/C9-1</f>
        <v>-7.2872824839612327E-2</v>
      </c>
      <c r="G9" s="56">
        <f t="shared" si="0"/>
        <v>4</v>
      </c>
      <c r="H9" s="6" t="s">
        <v>210</v>
      </c>
      <c r="I9" s="18">
        <v>260.39999999999998</v>
      </c>
      <c r="J9" s="9">
        <f t="shared" ref="J9:AC9" si="2">+I18</f>
        <v>208.29999999999998</v>
      </c>
      <c r="K9" s="9">
        <f t="shared" si="2"/>
        <v>337.4</v>
      </c>
      <c r="L9" s="9">
        <f t="shared" si="2"/>
        <v>878.3</v>
      </c>
      <c r="M9" s="9">
        <f t="shared" si="2"/>
        <v>832.8</v>
      </c>
      <c r="N9" s="9">
        <f t="shared" si="2"/>
        <v>816.69999999999993</v>
      </c>
      <c r="O9" s="9">
        <f t="shared" si="2"/>
        <v>912.49099999999987</v>
      </c>
      <c r="P9" s="9">
        <f t="shared" si="2"/>
        <v>1090.6089999999999</v>
      </c>
      <c r="Q9" s="9">
        <f t="shared" si="2"/>
        <v>1080.8256289999999</v>
      </c>
      <c r="R9" s="9">
        <f t="shared" si="2"/>
        <v>1042.8013145999998</v>
      </c>
      <c r="S9" s="9">
        <f t="shared" si="2"/>
        <v>827.98442899999998</v>
      </c>
      <c r="T9" s="9">
        <f t="shared" si="2"/>
        <v>577.45219999999995</v>
      </c>
      <c r="U9" s="9">
        <f t="shared" si="2"/>
        <v>644.96532536999996</v>
      </c>
      <c r="V9" s="9">
        <f t="shared" si="2"/>
        <v>625.20732536999992</v>
      </c>
      <c r="W9" s="9">
        <f t="shared" si="2"/>
        <v>642.65332536999983</v>
      </c>
      <c r="X9" s="9">
        <f t="shared" si="2"/>
        <v>732.58632536999994</v>
      </c>
      <c r="Y9" s="9">
        <f t="shared" si="2"/>
        <v>757.34441991999984</v>
      </c>
      <c r="Z9" s="9">
        <f t="shared" si="2"/>
        <v>840.16941991999988</v>
      </c>
      <c r="AA9" s="9">
        <f t="shared" si="2"/>
        <v>643.25441991999992</v>
      </c>
      <c r="AB9" s="9">
        <f t="shared" si="2"/>
        <v>738.24441991999993</v>
      </c>
      <c r="AC9" s="9">
        <f t="shared" si="2"/>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9">
        <f>+AL18</f>
        <v>757.01755843000001</v>
      </c>
      <c r="AN9" s="9">
        <f>+AM18</f>
        <v>1864.68255843</v>
      </c>
      <c r="AO9" s="9">
        <v>1391.2534867299998</v>
      </c>
      <c r="AP9" s="9">
        <v>1175.0958348099998</v>
      </c>
      <c r="AQ9" s="9">
        <v>950.63473795999971</v>
      </c>
      <c r="AR9" s="9">
        <v>1150.6624691799996</v>
      </c>
      <c r="AS9" s="9">
        <v>1067.4524574799998</v>
      </c>
      <c r="AT9" s="9">
        <v>985.32754586981616</v>
      </c>
      <c r="AU9" s="9">
        <v>882.19505667323585</v>
      </c>
      <c r="AV9" s="9">
        <f>AU18</f>
        <v>1092.87394421</v>
      </c>
      <c r="AW9" s="9">
        <f>AV18</f>
        <v>947.52394420999997</v>
      </c>
      <c r="AX9" s="9">
        <f>AW18</f>
        <v>913.52394420999997</v>
      </c>
      <c r="AY9" s="51"/>
    </row>
    <row r="10" spans="1:51" ht="8.25" customHeight="1">
      <c r="A10" s="1">
        <v>5</v>
      </c>
      <c r="G10" s="56">
        <f t="shared" si="0"/>
        <v>5</v>
      </c>
      <c r="I10" s="21"/>
      <c r="J10" s="21"/>
      <c r="K10" s="21"/>
      <c r="L10" s="21"/>
      <c r="M10" s="21"/>
      <c r="N10" s="21"/>
      <c r="O10" s="21"/>
      <c r="P10" s="21"/>
      <c r="AY10" s="51"/>
    </row>
    <row r="11" spans="1:51">
      <c r="A11" s="1">
        <v>6</v>
      </c>
      <c r="B11" s="5" t="s">
        <v>211</v>
      </c>
      <c r="C11" s="8">
        <f>HLOOKUP($C$6,$H$6:$BP$18,$G11,FALSE)</f>
        <v>78.956926863420193</v>
      </c>
      <c r="D11" s="8">
        <f t="shared" ref="D11:D18" si="3">HLOOKUP($D$6,$H$6:$BP$18,$G11,FALSE)</f>
        <v>-31.430000000000003</v>
      </c>
      <c r="E11" s="47" t="s">
        <v>131</v>
      </c>
      <c r="G11" s="56">
        <f t="shared" si="0"/>
        <v>6</v>
      </c>
      <c r="H11" s="5" t="s">
        <v>211</v>
      </c>
      <c r="I11" s="17">
        <v>83.1</v>
      </c>
      <c r="J11" s="17">
        <v>196.8</v>
      </c>
      <c r="K11" s="17">
        <v>148.9</v>
      </c>
      <c r="L11" s="17">
        <v>166.8</v>
      </c>
      <c r="M11" s="17">
        <v>77.2</v>
      </c>
      <c r="N11" s="17">
        <v>157.346</v>
      </c>
      <c r="O11" s="17">
        <v>235.101</v>
      </c>
      <c r="P11" s="17">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8">
        <f>94.3-AM30</f>
        <v>73.920999999999992</v>
      </c>
      <c r="AN11" s="8">
        <f>17.9176956799996-AN30</f>
        <v>5.0966956799996019</v>
      </c>
      <c r="AO11" s="8">
        <v>35.97561807999994</v>
      </c>
      <c r="AP11" s="8">
        <v>-87.71665885000013</v>
      </c>
      <c r="AQ11" s="8">
        <v>300.2758604500001</v>
      </c>
      <c r="AR11" s="8">
        <f>178.45068007-AR30</f>
        <v>147.25068006999999</v>
      </c>
      <c r="AS11" s="8">
        <f>77.8819153898163-AS30</f>
        <v>61.481915389816294</v>
      </c>
      <c r="AT11" s="8">
        <f>78.6569268634202-AT30</f>
        <v>78.956926863420193</v>
      </c>
      <c r="AU11" s="8">
        <f>381.561157746764-AU30</f>
        <v>342.56115774676402</v>
      </c>
      <c r="AV11" s="8">
        <f>180.25-AV30</f>
        <v>161.25</v>
      </c>
      <c r="AW11" s="8">
        <f>74.7-AW30</f>
        <v>57.2</v>
      </c>
      <c r="AX11" s="8">
        <f>4.831-AX30</f>
        <v>-31.430000000000003</v>
      </c>
      <c r="AY11" s="51"/>
    </row>
    <row r="12" spans="1:51">
      <c r="A12" s="1">
        <v>7</v>
      </c>
      <c r="B12" s="5" t="s">
        <v>212</v>
      </c>
      <c r="C12" s="8">
        <f t="shared" ref="C12:C18" si="4">HLOOKUP($C$6,$H$6:$BP$18,$G12,FALSE)</f>
        <v>-153.82572009999998</v>
      </c>
      <c r="D12" s="8">
        <f t="shared" si="3"/>
        <v>-18.350999999999996</v>
      </c>
      <c r="E12" s="47">
        <f t="shared" ref="E12:E16" si="5">+D12/C12-1</f>
        <v>-0.88070265500418099</v>
      </c>
      <c r="G12" s="56">
        <f t="shared" si="0"/>
        <v>7</v>
      </c>
      <c r="H12" s="5" t="s">
        <v>213</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8">
        <f>+-35.3-AM31</f>
        <v>-12.523999999999997</v>
      </c>
      <c r="AN12" s="8">
        <f>+-441.69185-AN31</f>
        <v>-437.06784999999996</v>
      </c>
      <c r="AO12" s="8">
        <v>-213.036598</v>
      </c>
      <c r="AP12" s="8">
        <v>-82.088413999999972</v>
      </c>
      <c r="AQ12" s="8">
        <v>-26.361958999999999</v>
      </c>
      <c r="AR12" s="8">
        <f>+-98.6040510000001-AR31</f>
        <v>-94.004051000000089</v>
      </c>
      <c r="AS12" s="8">
        <f>+-46.773392-AS31</f>
        <v>-43.773392000000001</v>
      </c>
      <c r="AT12" s="8">
        <f>-158.1257201-AT31</f>
        <v>-153.82572009999998</v>
      </c>
      <c r="AU12" s="8">
        <f>-44.7008879-AU31</f>
        <v>-21.000887899999999</v>
      </c>
      <c r="AV12" s="8">
        <f>-181.9-AV31</f>
        <v>-177.1</v>
      </c>
      <c r="AW12" s="8">
        <f>-47.6-AW31</f>
        <v>-25.400000000000002</v>
      </c>
      <c r="AX12" s="8">
        <f>-45.3-AX31</f>
        <v>-18.350999999999996</v>
      </c>
      <c r="AY12" s="51"/>
    </row>
    <row r="13" spans="1:51">
      <c r="A13" s="1">
        <v>8</v>
      </c>
      <c r="B13" s="5" t="s">
        <v>214</v>
      </c>
      <c r="C13" s="8">
        <f t="shared" si="4"/>
        <v>-29.27718269</v>
      </c>
      <c r="D13" s="8">
        <f t="shared" si="3"/>
        <v>-39.027000000000001</v>
      </c>
      <c r="E13" s="47">
        <f t="shared" si="5"/>
        <v>0.3330176066883026</v>
      </c>
      <c r="G13" s="56">
        <f t="shared" si="0"/>
        <v>8</v>
      </c>
      <c r="H13" s="5" t="s">
        <v>215</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8">
        <f>1047.2-AM32</f>
        <v>1055.52</v>
      </c>
      <c r="AN13" s="8">
        <f>+-41.573046-AN32</f>
        <v>-39.193045999999995</v>
      </c>
      <c r="AO13" s="8">
        <v>-41.212999999999994</v>
      </c>
      <c r="AP13" s="8">
        <v>-44.241773000000009</v>
      </c>
      <c r="AQ13" s="8">
        <v>-67.040999999999997</v>
      </c>
      <c r="AR13" s="8">
        <f>+-100.221788-AR32</f>
        <v>-135.42178799999999</v>
      </c>
      <c r="AS13" s="8">
        <f>+-122.107087-AS32</f>
        <v>-97.907087000000004</v>
      </c>
      <c r="AT13" s="8">
        <f>-34.57718269-AT32</f>
        <v>-29.27718269</v>
      </c>
      <c r="AU13" s="8">
        <f>-106.71573031-AU32</f>
        <v>-102.51573031</v>
      </c>
      <c r="AV13" s="8">
        <f>-145.9-AV32</f>
        <v>-137.5</v>
      </c>
      <c r="AW13" s="8">
        <f>-46.6-AW32</f>
        <v>-44.9</v>
      </c>
      <c r="AX13" s="8">
        <f>-43.3-AX32</f>
        <v>-39.027000000000001</v>
      </c>
      <c r="AY13" s="51"/>
    </row>
    <row r="14" spans="1:51">
      <c r="A14" s="1">
        <v>9</v>
      </c>
      <c r="B14" s="19" t="s">
        <v>216</v>
      </c>
      <c r="C14" s="20">
        <f t="shared" si="4"/>
        <v>-104.14597592657979</v>
      </c>
      <c r="D14" s="20">
        <f t="shared" si="3"/>
        <v>-88.807999999999993</v>
      </c>
      <c r="E14" s="53">
        <f t="shared" si="5"/>
        <v>-0.14727382205715445</v>
      </c>
      <c r="G14" s="56">
        <f t="shared" si="0"/>
        <v>9</v>
      </c>
      <c r="H14" s="19" t="s">
        <v>216</v>
      </c>
      <c r="I14" s="20">
        <v>-48</v>
      </c>
      <c r="J14" s="20">
        <v>130.9</v>
      </c>
      <c r="K14" s="20">
        <v>559.4</v>
      </c>
      <c r="L14" s="20">
        <v>-51.099999999999987</v>
      </c>
      <c r="M14" s="20">
        <v>-16.399999999999995</v>
      </c>
      <c r="N14" s="20">
        <v>96.135000000000005</v>
      </c>
      <c r="O14" s="20">
        <v>183.25</v>
      </c>
      <c r="P14" s="20">
        <v>-8.2833710000000167</v>
      </c>
      <c r="Q14" s="20">
        <v>-2.4379144000000226</v>
      </c>
      <c r="R14" s="20">
        <f t="shared" ref="R14" si="6">SUM(R11:R13)</f>
        <v>-217.23088559999997</v>
      </c>
      <c r="S14" s="20">
        <f t="shared" ref="S14" si="7">SUM(S11:S13)</f>
        <v>-250.978229</v>
      </c>
      <c r="T14" s="20">
        <f t="shared" ref="T14" si="8">SUM(T11:T13)</f>
        <v>69.550125370000018</v>
      </c>
      <c r="U14" s="20">
        <f t="shared" ref="U14" si="9">SUM(U11:U13)</f>
        <v>-20.726000000000013</v>
      </c>
      <c r="V14" s="20">
        <f t="shared" ref="V14:W14" si="10">SUM(V11:V13)</f>
        <v>17.821999999999953</v>
      </c>
      <c r="W14" s="20">
        <f t="shared" si="10"/>
        <v>86.719000000000051</v>
      </c>
      <c r="X14" s="20">
        <f t="shared" ref="X14:AE14" si="11">SUM(X11:X13)</f>
        <v>16.327094549999909</v>
      </c>
      <c r="Y14" s="20">
        <f t="shared" si="11"/>
        <v>79.796999999999997</v>
      </c>
      <c r="Z14" s="20">
        <f t="shared" si="11"/>
        <v>-181.13899999999998</v>
      </c>
      <c r="AA14" s="20">
        <f t="shared" si="11"/>
        <v>97.842000000000041</v>
      </c>
      <c r="AB14" s="20">
        <f t="shared" si="11"/>
        <v>31.286000000000023</v>
      </c>
      <c r="AC14" s="20">
        <f t="shared" si="11"/>
        <v>35.599999999999987</v>
      </c>
      <c r="AD14" s="20">
        <f t="shared" si="11"/>
        <v>-149.30000000000001</v>
      </c>
      <c r="AE14" s="20">
        <f t="shared" si="11"/>
        <v>122.17200000000001</v>
      </c>
      <c r="AF14" s="20">
        <f t="shared" ref="AF14:AH14" si="12">SUM(AF11:AF13)</f>
        <v>8.1279999999999681</v>
      </c>
      <c r="AG14" s="20">
        <f t="shared" si="12"/>
        <v>179.5</v>
      </c>
      <c r="AH14" s="20">
        <f t="shared" si="12"/>
        <v>-135.19999999999999</v>
      </c>
      <c r="AI14" s="20">
        <f t="shared" ref="AI14:AM14" si="13">SUM(AI11:AI13)</f>
        <v>120.99999999999997</v>
      </c>
      <c r="AJ14" s="20">
        <f t="shared" si="13"/>
        <v>-12.699999999999996</v>
      </c>
      <c r="AK14" s="20">
        <f t="shared" si="13"/>
        <v>71.363970000000009</v>
      </c>
      <c r="AL14" s="20">
        <f t="shared" si="13"/>
        <v>-251.11711</v>
      </c>
      <c r="AM14" s="20">
        <f t="shared" si="13"/>
        <v>1116.9169999999999</v>
      </c>
      <c r="AN14" s="20">
        <f>SUM(AN11:AN13)</f>
        <v>-471.16420032000036</v>
      </c>
      <c r="AO14" s="20">
        <f>SUM(AO11:AO13)</f>
        <v>-218.27397992000004</v>
      </c>
      <c r="AP14" s="20">
        <f>SUM(AP11:AP13)</f>
        <v>-214.04684585000012</v>
      </c>
      <c r="AQ14" s="20">
        <f>SUM(AQ11:AQ13)</f>
        <v>206.87290145000009</v>
      </c>
      <c r="AR14" s="20">
        <f>SUM(AR11:AR13)</f>
        <v>-82.175158930000094</v>
      </c>
      <c r="AS14" s="20">
        <f t="shared" ref="AS14:AX14" si="14">SUM(AS11:AS13)</f>
        <v>-80.198563610183712</v>
      </c>
      <c r="AT14" s="20">
        <f t="shared" si="14"/>
        <v>-104.14597592657979</v>
      </c>
      <c r="AU14" s="20">
        <f t="shared" si="14"/>
        <v>219.04453953676403</v>
      </c>
      <c r="AV14" s="20">
        <f t="shared" si="14"/>
        <v>-153.35</v>
      </c>
      <c r="AW14" s="20">
        <f t="shared" si="14"/>
        <v>-13.099999999999998</v>
      </c>
      <c r="AX14" s="20">
        <f t="shared" si="14"/>
        <v>-88.807999999999993</v>
      </c>
      <c r="AY14" s="51"/>
    </row>
    <row r="15" spans="1:51" ht="8.25" customHeight="1">
      <c r="A15" s="1">
        <v>10</v>
      </c>
      <c r="G15" s="56">
        <f t="shared" si="0"/>
        <v>10</v>
      </c>
      <c r="I15" s="21"/>
      <c r="J15" s="21"/>
      <c r="K15" s="21"/>
      <c r="L15" s="21"/>
      <c r="M15" s="21"/>
      <c r="N15" s="21"/>
      <c r="O15" s="21"/>
      <c r="P15" s="21"/>
      <c r="AY15" s="51"/>
    </row>
    <row r="16" spans="1:51">
      <c r="A16" s="1">
        <v>11</v>
      </c>
      <c r="B16" s="5" t="s">
        <v>217</v>
      </c>
      <c r="C16" s="8">
        <f t="shared" si="4"/>
        <v>1.2109999999999999</v>
      </c>
      <c r="D16" s="8">
        <f t="shared" si="3"/>
        <v>0.17399999999999999</v>
      </c>
      <c r="E16" s="47">
        <f t="shared" si="5"/>
        <v>-0.85631709331131289</v>
      </c>
      <c r="G16" s="56">
        <f t="shared" si="0"/>
        <v>11</v>
      </c>
      <c r="H16" s="5" t="s">
        <v>217</v>
      </c>
      <c r="I16" s="8">
        <v>-4</v>
      </c>
      <c r="J16" s="8">
        <v>-1.8</v>
      </c>
      <c r="K16" s="8">
        <v>-18.600000000000001</v>
      </c>
      <c r="L16" s="8">
        <v>5.6</v>
      </c>
      <c r="M16" s="8">
        <v>0.3</v>
      </c>
      <c r="N16" s="8">
        <v>-0.34399999999999997</v>
      </c>
      <c r="O16" s="8">
        <v>-5.1320000000000006</v>
      </c>
      <c r="P16" s="8">
        <v>-1.5</v>
      </c>
      <c r="Q16" s="17">
        <v>6.6130000000000004</v>
      </c>
      <c r="R16" s="17">
        <v>2.4139999999999988</v>
      </c>
      <c r="S16" s="17">
        <v>0.44600000000000151</v>
      </c>
      <c r="T16" s="17">
        <v>-2.0370000000000008</v>
      </c>
      <c r="U16" s="17">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8">
        <f>+-10.3-AM35</f>
        <v>-9.2520000000000007</v>
      </c>
      <c r="AN16" s="8">
        <f>+-1.419424-AN35</f>
        <v>-2.0174240000000001</v>
      </c>
      <c r="AO16" s="8">
        <v>2.1163280000000002</v>
      </c>
      <c r="AP16" s="8">
        <v>-10.414251</v>
      </c>
      <c r="AQ16" s="8">
        <v>-6.845170230000349</v>
      </c>
      <c r="AR16" s="8">
        <f>+-0.877946000000001-AR35</f>
        <v>-1.0348527699996519</v>
      </c>
      <c r="AS16" s="8">
        <f>+-1.581348-AS35</f>
        <v>-1.9263479999999999</v>
      </c>
      <c r="AT16" s="8">
        <f>1.9-AT35</f>
        <v>1.2109999999999999</v>
      </c>
      <c r="AU16" s="8">
        <f>-9.177652-AU35</f>
        <v>-8.3656520000000008</v>
      </c>
      <c r="AV16" s="8">
        <f>7.9-AV35</f>
        <v>8</v>
      </c>
      <c r="AW16" s="8">
        <f>-21.4-AW35</f>
        <v>-20.9</v>
      </c>
      <c r="AX16" s="8">
        <f>-0.27-AX35</f>
        <v>0.17399999999999999</v>
      </c>
      <c r="AY16" s="51"/>
    </row>
    <row r="17" spans="1:52" ht="8.25" customHeight="1">
      <c r="A17" s="1">
        <v>12</v>
      </c>
      <c r="G17" s="56">
        <f t="shared" si="0"/>
        <v>12</v>
      </c>
      <c r="I17" s="21"/>
      <c r="J17" s="21"/>
      <c r="K17" s="21"/>
      <c r="L17" s="21"/>
      <c r="M17" s="21"/>
      <c r="N17" s="21"/>
      <c r="O17" s="21"/>
      <c r="P17" s="21"/>
      <c r="AY17" s="51"/>
    </row>
    <row r="18" spans="1:52">
      <c r="A18" s="1">
        <v>13</v>
      </c>
      <c r="B18" s="6" t="s">
        <v>218</v>
      </c>
      <c r="C18" s="9">
        <f t="shared" si="4"/>
        <v>882.39256994323637</v>
      </c>
      <c r="D18" s="9">
        <f t="shared" si="3"/>
        <v>824.97856240999988</v>
      </c>
      <c r="E18" s="66">
        <f>D18/C18-1</f>
        <v>-6.5066286241428628E-2</v>
      </c>
      <c r="G18" s="56">
        <f t="shared" si="0"/>
        <v>13</v>
      </c>
      <c r="H18" s="6" t="s">
        <v>218</v>
      </c>
      <c r="I18" s="9">
        <v>208.29999999999998</v>
      </c>
      <c r="J18" s="9">
        <v>337.4</v>
      </c>
      <c r="K18" s="9">
        <v>878.3</v>
      </c>
      <c r="L18" s="9">
        <v>832.8</v>
      </c>
      <c r="M18" s="9">
        <v>816.69999999999993</v>
      </c>
      <c r="N18" s="9">
        <v>912.49099999999987</v>
      </c>
      <c r="O18" s="9">
        <v>1090.6089999999999</v>
      </c>
      <c r="P18" s="9">
        <v>1080.8256289999999</v>
      </c>
      <c r="Q18" s="9">
        <v>1042.8013145999998</v>
      </c>
      <c r="R18" s="9">
        <v>827.98442899999998</v>
      </c>
      <c r="S18" s="9">
        <v>577.45219999999995</v>
      </c>
      <c r="T18" s="9">
        <v>644.96532536999996</v>
      </c>
      <c r="U18" s="9">
        <f t="shared" ref="U18:Z18" si="15">U16+U14+U9</f>
        <v>625.20732536999992</v>
      </c>
      <c r="V18" s="9">
        <f t="shared" si="15"/>
        <v>642.65332536999983</v>
      </c>
      <c r="W18" s="9">
        <f t="shared" si="15"/>
        <v>732.58632536999994</v>
      </c>
      <c r="X18" s="9">
        <f t="shared" si="15"/>
        <v>757.34441991999984</v>
      </c>
      <c r="Y18" s="9">
        <f t="shared" si="15"/>
        <v>840.16941991999988</v>
      </c>
      <c r="Z18" s="9">
        <f t="shared" si="15"/>
        <v>643.25441991999992</v>
      </c>
      <c r="AA18" s="9">
        <f t="shared" ref="AA18:AH18" si="16">AA16+AA14+AA9</f>
        <v>738.24441991999993</v>
      </c>
      <c r="AB18" s="9">
        <f t="shared" si="16"/>
        <v>764.4089199199999</v>
      </c>
      <c r="AC18" s="9">
        <f t="shared" si="16"/>
        <v>802.70891991999986</v>
      </c>
      <c r="AD18" s="9">
        <f t="shared" si="16"/>
        <v>649.80891991999988</v>
      </c>
      <c r="AE18" s="9">
        <f t="shared" si="16"/>
        <v>766.85041992000004</v>
      </c>
      <c r="AF18" s="9">
        <f t="shared" si="16"/>
        <v>773.54441991999988</v>
      </c>
      <c r="AG18" s="9">
        <f t="shared" si="16"/>
        <v>951.04969842999992</v>
      </c>
      <c r="AH18" s="9">
        <f t="shared" si="16"/>
        <v>813.14969842999994</v>
      </c>
      <c r="AI18" s="9">
        <f t="shared" ref="AI18:AO18" si="17">AI16+AI14+AI9</f>
        <v>938.64969842999994</v>
      </c>
      <c r="AJ18" s="9">
        <f t="shared" si="17"/>
        <v>936.4496984299999</v>
      </c>
      <c r="AK18" s="9">
        <f>1027.9-AK37</f>
        <v>1006.1283000000001</v>
      </c>
      <c r="AL18" s="9">
        <f t="shared" si="17"/>
        <v>757.01755843000001</v>
      </c>
      <c r="AM18" s="9">
        <f t="shared" si="17"/>
        <v>1864.68255843</v>
      </c>
      <c r="AN18" s="9">
        <f t="shared" si="17"/>
        <v>1391.5009341099997</v>
      </c>
      <c r="AO18" s="9">
        <f t="shared" si="17"/>
        <v>1175.0958348099998</v>
      </c>
      <c r="AP18" s="9">
        <f>AP16+AP14+AP9</f>
        <v>950.63473795999971</v>
      </c>
      <c r="AQ18" s="9">
        <f>AQ16+AQ14+AQ9</f>
        <v>1150.6624691799993</v>
      </c>
      <c r="AR18" s="9">
        <f>+AR9+AR14+AR16</f>
        <v>1067.4524574799998</v>
      </c>
      <c r="AS18" s="9">
        <f>+AS9+AS14+AS16</f>
        <v>985.32754586981616</v>
      </c>
      <c r="AT18" s="9">
        <f>+AT9+AT14+AT16</f>
        <v>882.39256994323637</v>
      </c>
      <c r="AU18" s="9">
        <f>1170.7003818-AU37</f>
        <v>1092.87394421</v>
      </c>
      <c r="AV18" s="9">
        <f>+AV9+AV14+AV16</f>
        <v>947.52394420999997</v>
      </c>
      <c r="AW18" s="9">
        <f>+AW9+AW14+AW16</f>
        <v>913.52394420999997</v>
      </c>
      <c r="AX18" s="9">
        <f>906.2-AX37</f>
        <v>824.97856240999988</v>
      </c>
      <c r="AY18" s="51"/>
      <c r="AZ18" s="121"/>
    </row>
    <row r="19" spans="1:52">
      <c r="AK19" s="51"/>
      <c r="AZ19" s="121"/>
    </row>
    <row r="20" spans="1:52">
      <c r="AZ20" s="121"/>
    </row>
    <row r="23" spans="1:52" ht="23.5">
      <c r="B23" s="11" t="s">
        <v>37</v>
      </c>
      <c r="C23" s="12"/>
      <c r="D23" s="12"/>
      <c r="E23" s="12"/>
      <c r="H23" s="11" t="s">
        <v>37</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row>
    <row r="25" spans="1:52">
      <c r="A25" s="1">
        <v>1</v>
      </c>
      <c r="B25" s="3" t="s">
        <v>208</v>
      </c>
      <c r="C25" s="138" t="str">
        <f>C6</f>
        <v>2Q23</v>
      </c>
      <c r="D25" s="138" t="str">
        <f>D6</f>
        <v>2Q24</v>
      </c>
      <c r="E25" s="138" t="s">
        <v>75</v>
      </c>
      <c r="G25" s="56">
        <v>1</v>
      </c>
      <c r="H25" s="3" t="s">
        <v>208</v>
      </c>
      <c r="I25" s="138" t="s">
        <v>76</v>
      </c>
      <c r="J25" s="138" t="s">
        <v>77</v>
      </c>
      <c r="K25" s="138" t="s">
        <v>78</v>
      </c>
      <c r="L25" s="138" t="s">
        <v>79</v>
      </c>
      <c r="M25" s="138" t="s">
        <v>80</v>
      </c>
      <c r="N25" s="138" t="s">
        <v>81</v>
      </c>
      <c r="O25" s="138" t="s">
        <v>82</v>
      </c>
      <c r="P25" s="138" t="s">
        <v>83</v>
      </c>
      <c r="Q25" s="138" t="s">
        <v>84</v>
      </c>
      <c r="R25" s="138" t="s">
        <v>85</v>
      </c>
      <c r="S25" s="138" t="s">
        <v>86</v>
      </c>
      <c r="T25" s="138" t="s">
        <v>87</v>
      </c>
      <c r="U25" s="138" t="s">
        <v>88</v>
      </c>
      <c r="V25" s="138" t="s">
        <v>89</v>
      </c>
      <c r="W25" s="138" t="s">
        <v>90</v>
      </c>
      <c r="X25" s="138" t="s">
        <v>91</v>
      </c>
      <c r="Y25" s="138" t="s">
        <v>92</v>
      </c>
      <c r="Z25" s="138" t="s">
        <v>93</v>
      </c>
      <c r="AA25" s="138" t="s">
        <v>94</v>
      </c>
      <c r="AB25" s="138" t="s">
        <v>95</v>
      </c>
      <c r="AC25" s="138" t="s">
        <v>96</v>
      </c>
      <c r="AD25" s="138" t="s">
        <v>97</v>
      </c>
      <c r="AE25" s="138" t="s">
        <v>98</v>
      </c>
      <c r="AF25" s="138" t="s">
        <v>99</v>
      </c>
      <c r="AG25" s="138" t="s">
        <v>100</v>
      </c>
      <c r="AH25" s="138" t="s">
        <v>101</v>
      </c>
      <c r="AI25" s="138" t="s">
        <v>102</v>
      </c>
      <c r="AJ25" s="138" t="s">
        <v>103</v>
      </c>
      <c r="AK25" s="138" t="s">
        <v>104</v>
      </c>
      <c r="AL25" s="138" t="s">
        <v>105</v>
      </c>
      <c r="AM25" s="138" t="s">
        <v>106</v>
      </c>
      <c r="AN25" s="138" t="s">
        <v>107</v>
      </c>
      <c r="AO25" s="138" t="s">
        <v>108</v>
      </c>
      <c r="AP25" s="138" t="s">
        <v>109</v>
      </c>
      <c r="AQ25" s="138" t="s">
        <v>110</v>
      </c>
      <c r="AR25" s="138" t="s">
        <v>111</v>
      </c>
      <c r="AS25" s="138" t="s">
        <v>73</v>
      </c>
      <c r="AT25" s="138" t="s">
        <v>112</v>
      </c>
      <c r="AU25" s="138" t="s">
        <v>113</v>
      </c>
      <c r="AV25" s="138" t="s">
        <v>114</v>
      </c>
      <c r="AW25" s="138" t="s">
        <v>74</v>
      </c>
      <c r="AX25" s="138" t="s">
        <v>221</v>
      </c>
      <c r="AY25" s="51"/>
    </row>
    <row r="26" spans="1:52">
      <c r="A26" s="1">
        <v>2</v>
      </c>
      <c r="B26" s="3" t="s">
        <v>140</v>
      </c>
      <c r="C26" s="138"/>
      <c r="D26" s="138"/>
      <c r="E26" s="138"/>
      <c r="G26" s="56">
        <f>G25+1</f>
        <v>2</v>
      </c>
      <c r="H26" s="3" t="s">
        <v>140</v>
      </c>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row>
    <row r="27" spans="1:52">
      <c r="A27" s="1">
        <v>3</v>
      </c>
      <c r="G27" s="56">
        <f t="shared" ref="G27:G37" si="18">G26+1</f>
        <v>3</v>
      </c>
    </row>
    <row r="28" spans="1:52">
      <c r="A28" s="1">
        <v>4</v>
      </c>
      <c r="B28" s="6" t="s">
        <v>209</v>
      </c>
      <c r="C28" s="9">
        <f t="shared" ref="C28" si="19">HLOOKUP($C$25,$H$25:$BP$37,$G28,FALSE)</f>
        <v>76.74943759000017</v>
      </c>
      <c r="D28" s="9">
        <f>HLOOKUP($D$25,$H$25:$BP$37,$G28,FALSE)</f>
        <v>76.626437590000165</v>
      </c>
      <c r="E28" s="37">
        <f>D28/C28-1</f>
        <v>-1.6026176068817399E-3</v>
      </c>
      <c r="G28" s="56">
        <f t="shared" si="18"/>
        <v>4</v>
      </c>
      <c r="H28" s="6" t="s">
        <v>210</v>
      </c>
      <c r="I28" s="18"/>
      <c r="J28" s="18"/>
      <c r="K28" s="18"/>
      <c r="L28" s="18"/>
      <c r="M28" s="18"/>
      <c r="N28" s="18"/>
      <c r="O28" s="18"/>
      <c r="P28" s="18"/>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20">+AF37</f>
        <v>23.770700000000005</v>
      </c>
      <c r="AH28" s="9">
        <f t="shared" si="20"/>
        <v>28.670700000000004</v>
      </c>
      <c r="AI28" s="9">
        <f>+AH37</f>
        <v>40.970700000000001</v>
      </c>
      <c r="AJ28" s="9">
        <v>27.37070000000001</v>
      </c>
      <c r="AK28" s="9">
        <v>30.970700000000008</v>
      </c>
      <c r="AL28" s="9">
        <f>+AK37</f>
        <v>21.771700000000006</v>
      </c>
      <c r="AM28" s="9">
        <f>+AL37</f>
        <v>33.070700000000002</v>
      </c>
      <c r="AN28" s="9">
        <f>+AM37</f>
        <v>21.305700000000009</v>
      </c>
      <c r="AO28" s="9">
        <v>27.9</v>
      </c>
      <c r="AP28" s="9">
        <v>23.4</v>
      </c>
      <c r="AQ28" s="9">
        <v>39.199999999999989</v>
      </c>
      <c r="AR28" s="9">
        <v>25.24753082000052</v>
      </c>
      <c r="AS28" s="9">
        <f>AR37</f>
        <v>87.204437590000168</v>
      </c>
      <c r="AT28" s="9">
        <f>AS37</f>
        <v>76.74943759000017</v>
      </c>
      <c r="AU28" s="9">
        <v>67.538437590000171</v>
      </c>
      <c r="AV28" s="9">
        <f>AU37</f>
        <v>77.826437590000168</v>
      </c>
      <c r="AW28" s="9">
        <f>AV37</f>
        <v>83.526437590000171</v>
      </c>
      <c r="AX28" s="9">
        <f>AW37</f>
        <v>76.626437590000165</v>
      </c>
    </row>
    <row r="29" spans="1:52" ht="8.25" customHeight="1">
      <c r="A29" s="1">
        <v>5</v>
      </c>
      <c r="G29" s="56">
        <f t="shared" si="18"/>
        <v>5</v>
      </c>
      <c r="I29" s="21"/>
      <c r="J29" s="21"/>
      <c r="K29" s="21"/>
      <c r="L29" s="21"/>
      <c r="M29" s="21"/>
      <c r="N29" s="21"/>
      <c r="O29" s="21"/>
      <c r="P29" s="21"/>
    </row>
    <row r="30" spans="1:52">
      <c r="A30" s="1">
        <v>6</v>
      </c>
      <c r="B30" s="5" t="s">
        <v>211</v>
      </c>
      <c r="C30" s="8">
        <f>HLOOKUP($C$25,$H$25:$BP$37,$G30,FALSE)</f>
        <v>-0.29999999999999893</v>
      </c>
      <c r="D30" s="8">
        <f t="shared" ref="D30:D37" si="21">HLOOKUP($D$25,$H$25:$BP$37,$G30,FALSE)</f>
        <v>36.261000000000003</v>
      </c>
      <c r="E30" s="36" t="s">
        <v>131</v>
      </c>
      <c r="G30" s="56">
        <f t="shared" si="18"/>
        <v>6</v>
      </c>
      <c r="H30" s="5" t="s">
        <v>211</v>
      </c>
      <c r="I30" s="17"/>
      <c r="J30" s="17"/>
      <c r="K30" s="17"/>
      <c r="L30" s="17"/>
      <c r="M30" s="17"/>
      <c r="N30" s="17"/>
      <c r="O30" s="17"/>
      <c r="P30" s="17"/>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c r="AM30" s="8">
        <f>52.679-AL30-AK30</f>
        <v>20.379000000000005</v>
      </c>
      <c r="AN30" s="8">
        <f>65.5-SUM(AK30:AM30)</f>
        <v>12.820999999999998</v>
      </c>
      <c r="AO30" s="8">
        <v>20.3</v>
      </c>
      <c r="AP30" s="8">
        <v>22.699999999999992</v>
      </c>
      <c r="AQ30" s="8">
        <v>22.000000000000007</v>
      </c>
      <c r="AR30" s="8">
        <f>96.2-SUM(AO30:AQ30)</f>
        <v>31.200000000000003</v>
      </c>
      <c r="AS30" s="8">
        <v>16.400000000000002</v>
      </c>
      <c r="AT30" s="8">
        <v>-0.29999999999999893</v>
      </c>
      <c r="AU30" s="8">
        <v>39</v>
      </c>
      <c r="AV30" s="8">
        <v>19</v>
      </c>
      <c r="AW30" s="8">
        <v>17.499999999999996</v>
      </c>
      <c r="AX30" s="8">
        <v>36.261000000000003</v>
      </c>
      <c r="AY30" s="51"/>
    </row>
    <row r="31" spans="1:52">
      <c r="A31" s="1">
        <v>7</v>
      </c>
      <c r="B31" s="5" t="s">
        <v>219</v>
      </c>
      <c r="C31" s="8">
        <f t="shared" ref="C31:C37" si="22">HLOOKUP($C$25,$H$25:$BP$37,$G31,FALSE)</f>
        <v>-4.3000000000000007</v>
      </c>
      <c r="D31" s="8">
        <f t="shared" si="21"/>
        <v>-26.949000000000002</v>
      </c>
      <c r="E31" s="36" t="s">
        <v>131</v>
      </c>
      <c r="G31" s="56">
        <f t="shared" si="18"/>
        <v>7</v>
      </c>
      <c r="H31" s="5" t="s">
        <v>213</v>
      </c>
      <c r="I31" s="17"/>
      <c r="J31" s="17"/>
      <c r="K31" s="17"/>
      <c r="L31" s="17"/>
      <c r="M31" s="17"/>
      <c r="N31" s="17"/>
      <c r="O31" s="17"/>
      <c r="P31" s="17"/>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c r="AM31" s="8">
        <f>+-51.076-AL31-AK31</f>
        <v>-22.776</v>
      </c>
      <c r="AN31" s="8">
        <f>-55.7-SUM(AK31:AM31)</f>
        <v>-4.6240000000000023</v>
      </c>
      <c r="AO31" s="8">
        <v>-24</v>
      </c>
      <c r="AP31" s="8">
        <v>-5</v>
      </c>
      <c r="AQ31" s="8">
        <v>-23.8</v>
      </c>
      <c r="AR31" s="8">
        <f>+-57.4-SUM(AO31:AQ31)</f>
        <v>-4.6000000000000014</v>
      </c>
      <c r="AS31" s="8">
        <v>-3</v>
      </c>
      <c r="AT31" s="8">
        <v>-4.3000000000000007</v>
      </c>
      <c r="AU31" s="8">
        <v>-23.7</v>
      </c>
      <c r="AV31" s="8">
        <v>-4.8</v>
      </c>
      <c r="AW31" s="8">
        <v>-22.2</v>
      </c>
      <c r="AX31" s="8">
        <v>-26.949000000000002</v>
      </c>
    </row>
    <row r="32" spans="1:52">
      <c r="A32" s="1">
        <v>8</v>
      </c>
      <c r="B32" s="5" t="s">
        <v>215</v>
      </c>
      <c r="C32" s="8">
        <f t="shared" si="22"/>
        <v>-5.3000000000000007</v>
      </c>
      <c r="D32" s="8">
        <f t="shared" si="21"/>
        <v>-4.2729999999999997</v>
      </c>
      <c r="E32" s="36">
        <f t="shared" ref="E32" si="23">+D32/C32-1</f>
        <v>-0.19377358490566055</v>
      </c>
      <c r="G32" s="56">
        <f t="shared" si="18"/>
        <v>8</v>
      </c>
      <c r="H32" s="5" t="s">
        <v>215</v>
      </c>
      <c r="I32" s="17"/>
      <c r="J32" s="17"/>
      <c r="K32" s="17"/>
      <c r="L32" s="17"/>
      <c r="M32" s="17"/>
      <c r="N32" s="17"/>
      <c r="O32" s="17"/>
      <c r="P32" s="17"/>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c r="AM32" s="8">
        <f>+-9.92-AL32-AK32</f>
        <v>-8.32</v>
      </c>
      <c r="AN32" s="8">
        <f>-12.3-SUM(AK32:AM32)</f>
        <v>-2.3800000000000008</v>
      </c>
      <c r="AO32" s="8">
        <v>-2.2000000000000002</v>
      </c>
      <c r="AP32" s="8">
        <v>-1.6999999999999997</v>
      </c>
      <c r="AQ32" s="8">
        <v>-11.6</v>
      </c>
      <c r="AR32" s="8">
        <v>35.199999999999996</v>
      </c>
      <c r="AS32" s="8">
        <v>-24.2</v>
      </c>
      <c r="AT32" s="8">
        <v>-5.3000000000000007</v>
      </c>
      <c r="AU32" s="8">
        <v>-4.2</v>
      </c>
      <c r="AV32" s="8">
        <v>-8.4</v>
      </c>
      <c r="AW32" s="8">
        <v>-1.7000000000000002</v>
      </c>
      <c r="AX32" s="8">
        <v>-4.2729999999999997</v>
      </c>
    </row>
    <row r="33" spans="1:51">
      <c r="A33" s="1">
        <v>9</v>
      </c>
      <c r="B33" s="19" t="s">
        <v>216</v>
      </c>
      <c r="C33" s="20">
        <f t="shared" si="22"/>
        <v>-9.9</v>
      </c>
      <c r="D33" s="20">
        <f t="shared" si="21"/>
        <v>5.0390000000000015</v>
      </c>
      <c r="E33" s="53" t="s">
        <v>131</v>
      </c>
      <c r="G33" s="56">
        <f t="shared" si="18"/>
        <v>9</v>
      </c>
      <c r="H33" s="19" t="s">
        <v>216</v>
      </c>
      <c r="I33" s="22"/>
      <c r="J33" s="22"/>
      <c r="K33" s="22"/>
      <c r="L33" s="22"/>
      <c r="M33" s="22"/>
      <c r="N33" s="22"/>
      <c r="O33" s="22"/>
      <c r="P33" s="22"/>
      <c r="Q33" s="20">
        <v>-3.0490999999999984</v>
      </c>
      <c r="R33" s="20">
        <v>0.96990000000000065</v>
      </c>
      <c r="S33" s="20">
        <f t="shared" ref="S33" si="24">SUM(S30:S32)</f>
        <v>2.633999999999999</v>
      </c>
      <c r="T33" s="20">
        <f t="shared" ref="T33" si="25">SUM(T30:T32)</f>
        <v>-20.722499999999997</v>
      </c>
      <c r="U33" s="20">
        <f t="shared" ref="U33" si="26">SUM(U30:U32)</f>
        <v>16.568999999999999</v>
      </c>
      <c r="V33" s="20">
        <f t="shared" ref="V33:X33" si="27">SUM(V30:V32)</f>
        <v>-1.1770000000000018</v>
      </c>
      <c r="W33" s="20">
        <f t="shared" si="27"/>
        <v>6.6410000000000009</v>
      </c>
      <c r="X33" s="20">
        <f t="shared" si="27"/>
        <v>11.280999999999999</v>
      </c>
      <c r="Y33" s="20">
        <f>SUM(Y30:Y32)</f>
        <v>-10.9</v>
      </c>
      <c r="Z33" s="20">
        <v>12.5</v>
      </c>
      <c r="AA33" s="20">
        <v>-5.9</v>
      </c>
      <c r="AB33" s="20">
        <f t="shared" ref="AB33:AR33" si="28">+AB30+AB31+AB32</f>
        <v>-22.186</v>
      </c>
      <c r="AC33" s="20">
        <f t="shared" si="28"/>
        <v>-11</v>
      </c>
      <c r="AD33" s="20">
        <f t="shared" si="28"/>
        <v>4.3000000000000007</v>
      </c>
      <c r="AE33" s="20">
        <f t="shared" si="28"/>
        <v>-3.7999999999999994</v>
      </c>
      <c r="AF33" s="20">
        <f t="shared" si="28"/>
        <v>9.8999999999999986</v>
      </c>
      <c r="AG33" s="20">
        <f t="shared" si="28"/>
        <v>5.5</v>
      </c>
      <c r="AH33" s="20">
        <f t="shared" si="28"/>
        <v>12.500000000000002</v>
      </c>
      <c r="AI33" s="20">
        <f t="shared" si="28"/>
        <v>-13.299999999999997</v>
      </c>
      <c r="AJ33" s="20">
        <f t="shared" si="28"/>
        <v>3.6999999999999997</v>
      </c>
      <c r="AK33" s="20">
        <f t="shared" si="28"/>
        <v>-8.8529999999999998</v>
      </c>
      <c r="AL33" s="20">
        <f t="shared" si="28"/>
        <v>11.252999999999995</v>
      </c>
      <c r="AM33" s="20">
        <f t="shared" si="28"/>
        <v>-10.716999999999995</v>
      </c>
      <c r="AN33" s="20">
        <f t="shared" si="28"/>
        <v>5.8169999999999948</v>
      </c>
      <c r="AO33" s="20">
        <f t="shared" si="28"/>
        <v>-5.8999999999999995</v>
      </c>
      <c r="AP33" s="20">
        <f t="shared" si="28"/>
        <v>15.999999999999993</v>
      </c>
      <c r="AQ33" s="20">
        <f t="shared" si="28"/>
        <v>-13.399999999999993</v>
      </c>
      <c r="AR33" s="20">
        <f t="shared" si="28"/>
        <v>61.8</v>
      </c>
      <c r="AS33" s="20">
        <f t="shared" ref="AS33:AX33" si="29">+AS30+AS31+AS32</f>
        <v>-10.799999999999997</v>
      </c>
      <c r="AT33" s="20">
        <f t="shared" si="29"/>
        <v>-9.9</v>
      </c>
      <c r="AU33" s="20">
        <f t="shared" si="29"/>
        <v>11.100000000000001</v>
      </c>
      <c r="AV33" s="20">
        <f t="shared" si="29"/>
        <v>5.7999999999999989</v>
      </c>
      <c r="AW33" s="20">
        <f t="shared" si="29"/>
        <v>-6.400000000000003</v>
      </c>
      <c r="AX33" s="20">
        <f t="shared" si="29"/>
        <v>5.0390000000000015</v>
      </c>
    </row>
    <row r="34" spans="1:51" ht="8.25" customHeight="1">
      <c r="A34" s="1">
        <v>10</v>
      </c>
      <c r="G34" s="56">
        <f t="shared" si="18"/>
        <v>10</v>
      </c>
      <c r="I34" s="21"/>
      <c r="J34" s="21"/>
      <c r="K34" s="21"/>
      <c r="L34" s="21"/>
      <c r="M34" s="21"/>
      <c r="N34" s="21"/>
      <c r="O34" s="21"/>
      <c r="P34" s="21"/>
    </row>
    <row r="35" spans="1:51">
      <c r="A35" s="1">
        <v>11</v>
      </c>
      <c r="B35" s="5" t="s">
        <v>217</v>
      </c>
      <c r="C35" s="8">
        <f t="shared" si="22"/>
        <v>0.68900000000000006</v>
      </c>
      <c r="D35" s="8">
        <f t="shared" si="21"/>
        <v>-0.44400000000000001</v>
      </c>
      <c r="E35" s="36" t="s">
        <v>131</v>
      </c>
      <c r="G35" s="56">
        <f t="shared" si="18"/>
        <v>11</v>
      </c>
      <c r="H35" s="5" t="s">
        <v>217</v>
      </c>
      <c r="I35" s="17"/>
      <c r="J35" s="17"/>
      <c r="K35" s="17"/>
      <c r="L35" s="17"/>
      <c r="M35" s="17"/>
      <c r="N35" s="17"/>
      <c r="O35" s="17"/>
      <c r="P35" s="17"/>
      <c r="Q35" s="17">
        <v>0</v>
      </c>
      <c r="R35" s="17">
        <v>0</v>
      </c>
      <c r="S35" s="17">
        <v>0</v>
      </c>
      <c r="T35" s="17">
        <v>0</v>
      </c>
      <c r="U35" s="17">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c r="AM35" s="8">
        <f>+-1.348-AL35-AK35</f>
        <v>-1.048</v>
      </c>
      <c r="AN35" s="8">
        <f>+-0.75-SUM(AK35:AM35)</f>
        <v>0.59800000000000009</v>
      </c>
      <c r="AO35" s="8">
        <v>1.4</v>
      </c>
      <c r="AP35" s="8">
        <v>-0.19999999999999996</v>
      </c>
      <c r="AQ35" s="8">
        <v>-0.65690676999965092</v>
      </c>
      <c r="AR35" s="8">
        <f>0.7-SUM(AO35:AQ35)</f>
        <v>0.15690676999965092</v>
      </c>
      <c r="AS35" s="8">
        <v>0.34500000000000003</v>
      </c>
      <c r="AT35" s="8">
        <v>0.68900000000000006</v>
      </c>
      <c r="AU35" s="8">
        <v>-0.81200000000000006</v>
      </c>
      <c r="AV35" s="8">
        <v>-0.1</v>
      </c>
      <c r="AW35" s="8">
        <v>-0.5</v>
      </c>
      <c r="AX35" s="8">
        <v>-0.44400000000000001</v>
      </c>
      <c r="AY35" s="80"/>
    </row>
    <row r="36" spans="1:51" ht="8.25" customHeight="1">
      <c r="A36" s="1">
        <v>12</v>
      </c>
      <c r="G36" s="56">
        <f t="shared" si="18"/>
        <v>12</v>
      </c>
      <c r="I36" s="21"/>
      <c r="J36" s="21"/>
      <c r="K36" s="21"/>
      <c r="L36" s="21"/>
      <c r="M36" s="21"/>
      <c r="N36" s="21"/>
      <c r="O36" s="21"/>
      <c r="P36" s="21"/>
    </row>
    <row r="37" spans="1:51">
      <c r="A37" s="1">
        <v>13</v>
      </c>
      <c r="B37" s="6" t="s">
        <v>218</v>
      </c>
      <c r="C37" s="9">
        <f t="shared" si="22"/>
        <v>67.538437590000171</v>
      </c>
      <c r="D37" s="9">
        <f t="shared" si="21"/>
        <v>81.221437590000164</v>
      </c>
      <c r="E37" s="66">
        <f>D37/C37-1</f>
        <v>0.20259574382019641</v>
      </c>
      <c r="G37" s="56">
        <f t="shared" si="18"/>
        <v>13</v>
      </c>
      <c r="H37" s="6" t="s">
        <v>218</v>
      </c>
      <c r="I37" s="18"/>
      <c r="J37" s="18"/>
      <c r="K37" s="18"/>
      <c r="L37" s="18"/>
      <c r="M37" s="18"/>
      <c r="N37" s="18"/>
      <c r="O37" s="18"/>
      <c r="P37" s="18"/>
      <c r="Q37" s="9">
        <f t="shared" ref="Q37:X37" si="30">Q35+Q33+Q28</f>
        <v>39.150300000000001</v>
      </c>
      <c r="R37" s="9">
        <f t="shared" si="30"/>
        <v>40.120200000000004</v>
      </c>
      <c r="S37" s="9">
        <f t="shared" si="30"/>
        <v>42.754200000000004</v>
      </c>
      <c r="T37" s="9">
        <f t="shared" si="30"/>
        <v>22.031700000000008</v>
      </c>
      <c r="U37" s="9">
        <f t="shared" si="30"/>
        <v>38.978700000000003</v>
      </c>
      <c r="V37" s="9">
        <f t="shared" si="30"/>
        <v>37.817700000000002</v>
      </c>
      <c r="W37" s="9">
        <f t="shared" si="30"/>
        <v>43.233699999999999</v>
      </c>
      <c r="X37" s="9">
        <f t="shared" si="30"/>
        <v>52.870699999999999</v>
      </c>
      <c r="Y37" s="9">
        <f>Y35+Y33+Y28</f>
        <v>40.570700000000002</v>
      </c>
      <c r="Z37" s="9">
        <f>Z35+Z33+Z28</f>
        <v>52.370699999999999</v>
      </c>
      <c r="AA37" s="9">
        <f>AA35+AA33+AA28</f>
        <v>46.370699999999999</v>
      </c>
      <c r="AB37" s="9">
        <f t="shared" ref="AB37:AH37" si="31">+AB28+AB33+AB35</f>
        <v>23.706199999999999</v>
      </c>
      <c r="AC37" s="9">
        <f t="shared" si="31"/>
        <v>12.970700000000004</v>
      </c>
      <c r="AD37" s="9">
        <f t="shared" si="31"/>
        <v>17.470700000000004</v>
      </c>
      <c r="AE37" s="9">
        <f t="shared" si="31"/>
        <v>13.370700000000005</v>
      </c>
      <c r="AF37" s="9">
        <f t="shared" si="31"/>
        <v>23.770700000000005</v>
      </c>
      <c r="AG37" s="9">
        <f t="shared" si="31"/>
        <v>28.670700000000004</v>
      </c>
      <c r="AH37" s="9">
        <f t="shared" si="31"/>
        <v>40.970700000000001</v>
      </c>
      <c r="AI37" s="9">
        <f>+AI28+AI33+AI35</f>
        <v>27.370700000000003</v>
      </c>
      <c r="AJ37" s="9">
        <f>+AJ28+AJ33+AJ35</f>
        <v>30.970700000000008</v>
      </c>
      <c r="AK37" s="9">
        <f t="shared" ref="AK37" si="32">+AK28+AK33+AK35</f>
        <v>21.771700000000006</v>
      </c>
      <c r="AL37" s="9">
        <f>+AL28+AL33+AL35</f>
        <v>33.070700000000002</v>
      </c>
      <c r="AM37" s="9">
        <f>+AM28+AM33+AM35</f>
        <v>21.305700000000009</v>
      </c>
      <c r="AN37" s="9">
        <f>+AN28+AN33+AN35</f>
        <v>27.720700000000001</v>
      </c>
      <c r="AO37" s="9">
        <f>+AO28+AO33+AO35</f>
        <v>23.4</v>
      </c>
      <c r="AP37" s="9">
        <f>+AP28+AP33+AP35</f>
        <v>39.199999999999989</v>
      </c>
      <c r="AQ37" s="9">
        <f>1175.91-AQ18</f>
        <v>25.247530820000748</v>
      </c>
      <c r="AR37" s="9">
        <f t="shared" ref="AR37:AX37" si="33">+AR28+AR33+AR35</f>
        <v>87.204437590000168</v>
      </c>
      <c r="AS37" s="9">
        <f t="shared" si="33"/>
        <v>76.74943759000017</v>
      </c>
      <c r="AT37" s="9">
        <f t="shared" si="33"/>
        <v>67.538437590000171</v>
      </c>
      <c r="AU37" s="9">
        <f t="shared" si="33"/>
        <v>77.826437590000168</v>
      </c>
      <c r="AV37" s="9">
        <f t="shared" si="33"/>
        <v>83.526437590000171</v>
      </c>
      <c r="AW37" s="9">
        <f t="shared" si="33"/>
        <v>76.626437590000165</v>
      </c>
      <c r="AX37" s="9">
        <f t="shared" si="33"/>
        <v>81.221437590000164</v>
      </c>
    </row>
    <row r="40" spans="1:51" ht="93.75" customHeight="1">
      <c r="B40" s="139" t="s">
        <v>220</v>
      </c>
      <c r="C40" s="143"/>
      <c r="D40" s="143"/>
      <c r="E40" s="143"/>
    </row>
  </sheetData>
  <mergeCells count="91">
    <mergeCell ref="AX6:AX7"/>
    <mergeCell ref="AX25:AX26"/>
    <mergeCell ref="AI6:AI7"/>
    <mergeCell ref="AI25:AI26"/>
    <mergeCell ref="AN6:AN7"/>
    <mergeCell ref="AN25:AN26"/>
    <mergeCell ref="AJ6:AJ7"/>
    <mergeCell ref="AJ25:AJ26"/>
    <mergeCell ref="AL6:AL7"/>
    <mergeCell ref="AL25:AL26"/>
    <mergeCell ref="AK6:AK7"/>
    <mergeCell ref="AK25:AK26"/>
    <mergeCell ref="AS6:AS7"/>
    <mergeCell ref="AS25:AS26"/>
    <mergeCell ref="AR6:AR7"/>
    <mergeCell ref="AR25:AR26"/>
    <mergeCell ref="AM6:AM7"/>
    <mergeCell ref="AM25:AM26"/>
    <mergeCell ref="AQ6:AQ7"/>
    <mergeCell ref="AQ25:AQ26"/>
    <mergeCell ref="AP6:AP7"/>
    <mergeCell ref="AP25:AP26"/>
    <mergeCell ref="AO6:AO7"/>
    <mergeCell ref="AO25:AO26"/>
    <mergeCell ref="AA25:AA26"/>
    <mergeCell ref="AD25:AD26"/>
    <mergeCell ref="AE25:AE26"/>
    <mergeCell ref="AD6:AD7"/>
    <mergeCell ref="AH6:AH7"/>
    <mergeCell ref="AH25:AH26"/>
    <mergeCell ref="B40:E40"/>
    <mergeCell ref="AG6:AG7"/>
    <mergeCell ref="AG25:AG26"/>
    <mergeCell ref="AB25:AB26"/>
    <mergeCell ref="Y6:Y7"/>
    <mergeCell ref="Y25:Y26"/>
    <mergeCell ref="AC6:AC7"/>
    <mergeCell ref="AC25:AC26"/>
    <mergeCell ref="AB6:AB7"/>
    <mergeCell ref="AF25:AF26"/>
    <mergeCell ref="AF6:AF7"/>
    <mergeCell ref="AE6:AE7"/>
    <mergeCell ref="I25:I26"/>
    <mergeCell ref="Z6:Z7"/>
    <mergeCell ref="P25:P26"/>
    <mergeCell ref="AA6:AA7"/>
    <mergeCell ref="V6:V7"/>
    <mergeCell ref="S25:S26"/>
    <mergeCell ref="T25:T26"/>
    <mergeCell ref="X6:X7"/>
    <mergeCell ref="X25:X26"/>
    <mergeCell ref="W6:W7"/>
    <mergeCell ref="U25:U26"/>
    <mergeCell ref="T6:T7"/>
    <mergeCell ref="U6:U7"/>
    <mergeCell ref="S6:S7"/>
    <mergeCell ref="Q25:Q26"/>
    <mergeCell ref="R25:R26"/>
    <mergeCell ref="K25:K26"/>
    <mergeCell ref="L25:L26"/>
    <mergeCell ref="M25:M26"/>
    <mergeCell ref="N25:N26"/>
    <mergeCell ref="O25:O26"/>
    <mergeCell ref="N6:N7"/>
    <mergeCell ref="O6:O7"/>
    <mergeCell ref="P6:P7"/>
    <mergeCell ref="Q6:Q7"/>
    <mergeCell ref="L6:L7"/>
    <mergeCell ref="M6:M7"/>
    <mergeCell ref="AT6:AT7"/>
    <mergeCell ref="AT25:AT26"/>
    <mergeCell ref="C6:C7"/>
    <mergeCell ref="D6:D7"/>
    <mergeCell ref="E6:E7"/>
    <mergeCell ref="C25:C26"/>
    <mergeCell ref="D25:D26"/>
    <mergeCell ref="E25:E26"/>
    <mergeCell ref="Z25:Z26"/>
    <mergeCell ref="W25:W26"/>
    <mergeCell ref="V25:V26"/>
    <mergeCell ref="I6:I7"/>
    <mergeCell ref="J6:J7"/>
    <mergeCell ref="K6:K7"/>
    <mergeCell ref="J25:J26"/>
    <mergeCell ref="R6:R7"/>
    <mergeCell ref="AW6:AW7"/>
    <mergeCell ref="AW25:AW26"/>
    <mergeCell ref="AV6:AV7"/>
    <mergeCell ref="AV25:AV26"/>
    <mergeCell ref="AU6:AU7"/>
    <mergeCell ref="AU25:AU26"/>
  </mergeCells>
  <phoneticPr fontId="14" type="noConversion"/>
  <pageMargins left="0.7" right="0.7" top="0.75" bottom="0.75" header="0.3" footer="0.3"/>
  <pageSetup orientation="portrait" r:id="rId1"/>
  <ignoredErrors>
    <ignoredError sqref="AQ37 AS37 AK1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FE29-E31B-4F06-9591-823ED18C3791}">
  <sheetPr codeName="Sheet2">
    <tabColor theme="9" tint="0.79998168889431442"/>
  </sheetPr>
  <dimension ref="A4:I46"/>
  <sheetViews>
    <sheetView topLeftCell="B1" zoomScale="91" zoomScaleNormal="91" workbookViewId="0">
      <selection activeCell="I26" sqref="I26"/>
    </sheetView>
  </sheetViews>
  <sheetFormatPr baseColWidth="10" defaultColWidth="11.453125" defaultRowHeight="13.5"/>
  <cols>
    <col min="1" max="1" width="0" style="1" hidden="1" customWidth="1"/>
    <col min="2" max="2" width="40.453125" style="1" customWidth="1"/>
    <col min="3" max="3" width="11.453125" style="1" customWidth="1"/>
    <col min="4" max="4" width="22" style="1" customWidth="1"/>
    <col min="5" max="5" width="33.81640625" style="1" customWidth="1"/>
    <col min="6" max="16384" width="11.453125" style="1"/>
  </cols>
  <sheetData>
    <row r="4" spans="1:9" ht="23.5">
      <c r="B4" s="11" t="s">
        <v>0</v>
      </c>
      <c r="C4" s="12"/>
      <c r="D4" s="12"/>
      <c r="E4" s="12"/>
    </row>
    <row r="5" spans="1:9" ht="7.5" customHeight="1"/>
    <row r="6" spans="1:9" ht="15.75" customHeight="1">
      <c r="A6" s="1">
        <v>1</v>
      </c>
      <c r="B6" s="135" t="s">
        <v>1</v>
      </c>
      <c r="C6" s="137" t="s">
        <v>2</v>
      </c>
      <c r="D6" s="137" t="s">
        <v>3</v>
      </c>
      <c r="E6" s="137" t="s">
        <v>4</v>
      </c>
    </row>
    <row r="7" spans="1:9">
      <c r="A7" s="1">
        <v>2</v>
      </c>
      <c r="B7" s="135"/>
      <c r="C7" s="137"/>
      <c r="D7" s="137"/>
      <c r="E7" s="137"/>
      <c r="H7" s="88"/>
    </row>
    <row r="8" spans="1:9" ht="4.5" customHeight="1">
      <c r="A8" s="1">
        <v>3</v>
      </c>
      <c r="C8" s="80"/>
      <c r="D8" s="80"/>
      <c r="E8" s="80"/>
    </row>
    <row r="9" spans="1:9">
      <c r="A9" s="1">
        <v>4</v>
      </c>
      <c r="B9" s="86" t="s">
        <v>5</v>
      </c>
      <c r="C9" s="115">
        <v>199</v>
      </c>
      <c r="D9" s="114" t="s">
        <v>6</v>
      </c>
      <c r="E9" s="114" t="s">
        <v>7</v>
      </c>
      <c r="H9" s="88"/>
      <c r="I9" s="91"/>
    </row>
    <row r="10" spans="1:9">
      <c r="A10" s="1">
        <v>5</v>
      </c>
      <c r="B10" s="86" t="s">
        <v>8</v>
      </c>
      <c r="C10" s="115">
        <v>10</v>
      </c>
      <c r="D10" s="114" t="s">
        <v>6</v>
      </c>
      <c r="E10" s="114" t="s">
        <v>7</v>
      </c>
      <c r="H10" s="88"/>
      <c r="I10" s="91"/>
    </row>
    <row r="11" spans="1:9" ht="15.75" customHeight="1">
      <c r="A11" s="1">
        <v>6</v>
      </c>
      <c r="B11" s="86" t="s">
        <v>9</v>
      </c>
      <c r="C11" s="115">
        <v>661.8</v>
      </c>
      <c r="D11" s="114" t="s">
        <v>6</v>
      </c>
      <c r="E11" s="114" t="s">
        <v>10</v>
      </c>
      <c r="I11" s="91"/>
    </row>
    <row r="12" spans="1:9">
      <c r="A12" s="1">
        <v>7</v>
      </c>
      <c r="B12" s="86" t="s">
        <v>11</v>
      </c>
      <c r="C12" s="115">
        <v>249.2</v>
      </c>
      <c r="D12" s="114" t="s">
        <v>6</v>
      </c>
      <c r="E12" s="114" t="s">
        <v>7</v>
      </c>
      <c r="H12" s="88"/>
      <c r="I12" s="91"/>
    </row>
    <row r="13" spans="1:9" ht="15.75" customHeight="1">
      <c r="A13" s="1">
        <v>8</v>
      </c>
      <c r="B13" s="86" t="s">
        <v>12</v>
      </c>
      <c r="C13" s="115">
        <v>323.8</v>
      </c>
      <c r="D13" s="114" t="s">
        <v>6</v>
      </c>
      <c r="E13" s="114" t="s">
        <v>10</v>
      </c>
      <c r="H13" s="88"/>
      <c r="I13" s="91"/>
    </row>
    <row r="14" spans="1:9">
      <c r="A14" s="1">
        <v>9</v>
      </c>
      <c r="B14" s="86" t="s">
        <v>13</v>
      </c>
      <c r="C14" s="115">
        <v>172</v>
      </c>
      <c r="D14" s="114" t="s">
        <v>6</v>
      </c>
      <c r="E14" s="114" t="s">
        <v>14</v>
      </c>
    </row>
    <row r="15" spans="1:9">
      <c r="A15" s="1">
        <v>10</v>
      </c>
      <c r="B15" s="6" t="s">
        <v>15</v>
      </c>
      <c r="C15" s="125">
        <f>SUM(C8:C14)</f>
        <v>1615.8</v>
      </c>
      <c r="D15" s="126"/>
      <c r="E15" s="127"/>
      <c r="F15" s="91"/>
    </row>
    <row r="16" spans="1:9">
      <c r="A16" s="1">
        <v>11</v>
      </c>
      <c r="B16" s="86" t="s">
        <v>16</v>
      </c>
      <c r="C16" s="115">
        <v>9</v>
      </c>
      <c r="D16" s="114" t="s">
        <v>17</v>
      </c>
      <c r="E16" s="114" t="s">
        <v>10</v>
      </c>
    </row>
    <row r="17" spans="1:7" ht="15" customHeight="1">
      <c r="A17" s="1">
        <v>12</v>
      </c>
      <c r="B17" s="86" t="s">
        <v>18</v>
      </c>
      <c r="C17" s="115">
        <v>9.1999999999999993</v>
      </c>
      <c r="D17" s="114" t="s">
        <v>17</v>
      </c>
      <c r="E17" s="114" t="s">
        <v>10</v>
      </c>
    </row>
    <row r="18" spans="1:7">
      <c r="A18" s="1">
        <v>13</v>
      </c>
      <c r="B18" s="86" t="s">
        <v>19</v>
      </c>
      <c r="C18" s="115">
        <v>211.6</v>
      </c>
      <c r="D18" s="114" t="s">
        <v>17</v>
      </c>
      <c r="E18" s="114" t="s">
        <v>20</v>
      </c>
    </row>
    <row r="19" spans="1:7">
      <c r="B19" s="6" t="s">
        <v>21</v>
      </c>
      <c r="C19" s="125">
        <f>SUM(C16:C18)</f>
        <v>229.79999999999998</v>
      </c>
      <c r="D19" s="126"/>
      <c r="E19" s="127"/>
      <c r="F19" s="52"/>
    </row>
    <row r="20" spans="1:7">
      <c r="B20" s="86" t="s">
        <v>22</v>
      </c>
      <c r="C20" s="115">
        <v>335.4</v>
      </c>
      <c r="D20" s="114" t="s">
        <v>23</v>
      </c>
      <c r="E20" s="114" t="s">
        <v>24</v>
      </c>
    </row>
    <row r="21" spans="1:7">
      <c r="B21" s="86" t="s">
        <v>25</v>
      </c>
      <c r="C21" s="115">
        <v>411.2</v>
      </c>
      <c r="D21" s="114" t="s">
        <v>23</v>
      </c>
      <c r="E21" s="114" t="s">
        <v>24</v>
      </c>
    </row>
    <row r="22" spans="1:7">
      <c r="B22" s="86" t="s">
        <v>26</v>
      </c>
      <c r="C22" s="115">
        <v>108</v>
      </c>
      <c r="D22" s="114" t="s">
        <v>27</v>
      </c>
      <c r="E22" s="114" t="s">
        <v>24</v>
      </c>
    </row>
    <row r="23" spans="1:7">
      <c r="B23" s="86" t="s">
        <v>28</v>
      </c>
      <c r="C23" s="115">
        <v>249.7</v>
      </c>
      <c r="D23" s="114" t="s">
        <v>27</v>
      </c>
      <c r="E23" s="114" t="s">
        <v>29</v>
      </c>
    </row>
    <row r="24" spans="1:7">
      <c r="B24" s="86" t="s">
        <v>30</v>
      </c>
      <c r="C24" s="115">
        <v>107.7</v>
      </c>
      <c r="D24" s="114" t="s">
        <v>31</v>
      </c>
      <c r="E24" s="114" t="s">
        <v>32</v>
      </c>
    </row>
    <row r="25" spans="1:7">
      <c r="B25" s="86" t="s">
        <v>33</v>
      </c>
      <c r="C25" s="115">
        <v>350</v>
      </c>
      <c r="D25" s="114" t="s">
        <v>34</v>
      </c>
      <c r="E25" s="114" t="s">
        <v>32</v>
      </c>
    </row>
    <row r="26" spans="1:7">
      <c r="B26" s="6" t="s">
        <v>35</v>
      </c>
      <c r="C26" s="125">
        <f>SUM(C20:C25)</f>
        <v>1562</v>
      </c>
      <c r="D26" s="126"/>
      <c r="E26" s="126"/>
      <c r="F26" s="52"/>
    </row>
    <row r="27" spans="1:7">
      <c r="B27" s="85" t="s">
        <v>36</v>
      </c>
      <c r="C27" s="128">
        <f>C15+C19+C26</f>
        <v>3407.6</v>
      </c>
      <c r="D27" s="128"/>
      <c r="E27" s="129"/>
      <c r="G27" s="88"/>
    </row>
    <row r="28" spans="1:7">
      <c r="C28" s="88"/>
      <c r="D28" s="88"/>
    </row>
    <row r="29" spans="1:7" ht="23.5">
      <c r="B29" s="11" t="s">
        <v>37</v>
      </c>
      <c r="C29" s="122"/>
      <c r="D29" s="12"/>
      <c r="E29" s="12"/>
      <c r="F29" s="88"/>
    </row>
    <row r="30" spans="1:7" ht="7.5" customHeight="1">
      <c r="C30" s="88"/>
    </row>
    <row r="31" spans="1:7">
      <c r="A31" s="1">
        <v>1</v>
      </c>
      <c r="B31" s="135" t="s">
        <v>1</v>
      </c>
      <c r="C31" s="136" t="s">
        <v>2</v>
      </c>
      <c r="D31" s="137" t="s">
        <v>3</v>
      </c>
      <c r="E31" s="137" t="s">
        <v>4</v>
      </c>
    </row>
    <row r="32" spans="1:7">
      <c r="A32" s="1">
        <v>2</v>
      </c>
      <c r="B32" s="135"/>
      <c r="C32" s="136"/>
      <c r="D32" s="137"/>
      <c r="E32" s="137"/>
    </row>
    <row r="33" spans="1:7" ht="4.5" customHeight="1">
      <c r="A33" s="1">
        <v>3</v>
      </c>
      <c r="C33" s="130"/>
      <c r="D33" s="80"/>
      <c r="E33" s="80"/>
    </row>
    <row r="34" spans="1:7">
      <c r="A34" s="1">
        <v>4</v>
      </c>
      <c r="B34" s="5" t="s">
        <v>38</v>
      </c>
      <c r="C34" s="115">
        <v>572</v>
      </c>
      <c r="D34" s="114" t="s">
        <v>23</v>
      </c>
      <c r="E34" s="114" t="s">
        <v>39</v>
      </c>
      <c r="F34" s="51"/>
    </row>
    <row r="35" spans="1:7">
      <c r="A35" s="1">
        <v>5</v>
      </c>
      <c r="B35" s="6" t="s">
        <v>35</v>
      </c>
      <c r="C35" s="125">
        <f>SUM(C29:C34)</f>
        <v>572</v>
      </c>
      <c r="D35" s="127"/>
      <c r="E35" s="127"/>
      <c r="F35" s="51"/>
      <c r="G35" s="88"/>
    </row>
    <row r="36" spans="1:7" ht="19.5" customHeight="1">
      <c r="A36" s="1">
        <v>6</v>
      </c>
      <c r="B36" s="85" t="s">
        <v>40</v>
      </c>
      <c r="C36" s="128">
        <f>C35</f>
        <v>572</v>
      </c>
      <c r="D36" s="116"/>
      <c r="E36" s="116"/>
    </row>
    <row r="37" spans="1:7">
      <c r="C37" s="130"/>
      <c r="D37" s="80"/>
      <c r="E37" s="80"/>
    </row>
    <row r="38" spans="1:7">
      <c r="B38" s="3" t="s">
        <v>41</v>
      </c>
      <c r="C38" s="136">
        <f>C27+C36</f>
        <v>3979.6</v>
      </c>
      <c r="D38" s="136"/>
      <c r="E38" s="136"/>
      <c r="F38" s="91"/>
    </row>
    <row r="39" spans="1:7">
      <c r="B39" s="3"/>
      <c r="C39" s="136"/>
      <c r="D39" s="137"/>
      <c r="E39" s="137"/>
    </row>
    <row r="40" spans="1:7">
      <c r="C40" s="51"/>
      <c r="D40" s="51"/>
      <c r="E40" s="51"/>
    </row>
    <row r="41" spans="1:7">
      <c r="C41" s="51"/>
      <c r="D41" s="51"/>
      <c r="E41" s="51"/>
    </row>
    <row r="42" spans="1:7">
      <c r="C42" s="51"/>
      <c r="D42" s="51"/>
      <c r="E42" s="51"/>
    </row>
    <row r="43" spans="1:7">
      <c r="C43" s="51"/>
      <c r="D43" s="51"/>
      <c r="E43" s="51"/>
    </row>
    <row r="44" spans="1:7">
      <c r="C44" s="51"/>
      <c r="D44" s="51"/>
      <c r="E44" s="51"/>
    </row>
    <row r="45" spans="1:7">
      <c r="C45" s="51"/>
      <c r="D45" s="51"/>
      <c r="E45" s="51"/>
    </row>
    <row r="46" spans="1:7">
      <c r="C46" s="51"/>
      <c r="D46" s="51"/>
      <c r="E46" s="51"/>
    </row>
  </sheetData>
  <mergeCells count="11">
    <mergeCell ref="B6:B7"/>
    <mergeCell ref="B31:B32"/>
    <mergeCell ref="C38:C39"/>
    <mergeCell ref="D38:D39"/>
    <mergeCell ref="E38:E39"/>
    <mergeCell ref="D6:D7"/>
    <mergeCell ref="E6:E7"/>
    <mergeCell ref="C6:C7"/>
    <mergeCell ref="D31:D32"/>
    <mergeCell ref="E31:E32"/>
    <mergeCell ref="C31:C3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5DD-DC42-45F3-9E26-8695A3ED3A72}">
  <sheetPr codeName="Sheet3">
    <tabColor theme="9" tint="0.79998168889431442"/>
  </sheetPr>
  <dimension ref="A4:E27"/>
  <sheetViews>
    <sheetView zoomScale="65" zoomScaleNormal="91" workbookViewId="0">
      <selection activeCell="D56" sqref="D56"/>
    </sheetView>
  </sheetViews>
  <sheetFormatPr baseColWidth="10" defaultColWidth="11.453125" defaultRowHeight="13.5"/>
  <cols>
    <col min="1" max="1" width="35.36328125" style="1" customWidth="1"/>
    <col min="2" max="2" width="31" style="1" customWidth="1"/>
    <col min="3" max="3" width="24.54296875" style="1" customWidth="1"/>
    <col min="4" max="4" width="27.1796875" style="1" customWidth="1"/>
    <col min="5" max="5" width="24.453125" style="1" customWidth="1"/>
    <col min="6" max="16384" width="11.453125" style="1"/>
  </cols>
  <sheetData>
    <row r="4" spans="1:5" ht="23.5">
      <c r="A4" s="11" t="s">
        <v>0</v>
      </c>
      <c r="B4" s="12"/>
      <c r="C4" s="12"/>
      <c r="D4" s="12"/>
      <c r="E4" s="12"/>
    </row>
    <row r="5" spans="1:5" ht="7.5" customHeight="1"/>
    <row r="6" spans="1:5" ht="15.75" customHeight="1">
      <c r="A6" s="59"/>
      <c r="B6" s="116" t="s">
        <v>42</v>
      </c>
      <c r="C6" s="116" t="s">
        <v>43</v>
      </c>
      <c r="D6" s="116" t="s">
        <v>44</v>
      </c>
      <c r="E6" s="116" t="s">
        <v>45</v>
      </c>
    </row>
    <row r="8" spans="1:5" ht="16.5" customHeight="1">
      <c r="A8" s="6" t="s">
        <v>46</v>
      </c>
      <c r="B8" s="6"/>
      <c r="C8" s="6"/>
      <c r="D8" s="6"/>
      <c r="E8" s="6"/>
    </row>
    <row r="9" spans="1:5">
      <c r="A9" s="13"/>
      <c r="B9" s="115"/>
      <c r="C9" s="115"/>
      <c r="D9" s="115"/>
      <c r="E9" s="114"/>
    </row>
    <row r="10" spans="1:5">
      <c r="A10" s="13" t="s">
        <v>47</v>
      </c>
      <c r="B10" s="123">
        <v>1000</v>
      </c>
      <c r="C10" s="124">
        <v>2011</v>
      </c>
      <c r="D10" s="124">
        <v>2025</v>
      </c>
      <c r="E10" s="124" t="s">
        <v>48</v>
      </c>
    </row>
    <row r="11" spans="1:5" ht="15.75" customHeight="1">
      <c r="A11" s="13" t="s">
        <v>49</v>
      </c>
      <c r="B11" s="124">
        <v>380</v>
      </c>
      <c r="C11" s="124">
        <v>2017</v>
      </c>
      <c r="D11" s="124">
        <v>2031</v>
      </c>
      <c r="E11" s="124" t="s">
        <v>48</v>
      </c>
    </row>
    <row r="12" spans="1:5">
      <c r="B12" s="88"/>
      <c r="C12" s="88"/>
      <c r="D12" s="88"/>
    </row>
    <row r="13" spans="1:5" ht="15.75" customHeight="1">
      <c r="A13" s="6" t="s">
        <v>50</v>
      </c>
      <c r="B13" s="84"/>
      <c r="C13" s="84"/>
      <c r="D13" s="84"/>
      <c r="E13" s="6"/>
    </row>
    <row r="14" spans="1:5">
      <c r="A14" s="13"/>
      <c r="B14" s="115"/>
      <c r="C14" s="115"/>
      <c r="D14" s="115"/>
      <c r="E14" s="114"/>
    </row>
    <row r="15" spans="1:5">
      <c r="A15" s="13" t="s">
        <v>51</v>
      </c>
      <c r="B15" s="123">
        <v>1542</v>
      </c>
      <c r="C15" s="124">
        <v>2010</v>
      </c>
      <c r="D15" s="124">
        <v>2029</v>
      </c>
      <c r="E15" s="124" t="s">
        <v>48</v>
      </c>
    </row>
    <row r="16" spans="1:5">
      <c r="A16" s="13" t="s">
        <v>52</v>
      </c>
      <c r="B16" s="124" t="s">
        <v>53</v>
      </c>
      <c r="C16" s="124" t="s">
        <v>54</v>
      </c>
      <c r="D16" s="124" t="s">
        <v>55</v>
      </c>
      <c r="E16" s="124" t="s">
        <v>56</v>
      </c>
    </row>
    <row r="17" spans="1:5" ht="15" customHeight="1">
      <c r="A17" s="13" t="s">
        <v>57</v>
      </c>
      <c r="B17" s="124">
        <v>662</v>
      </c>
      <c r="C17" s="124">
        <v>2017</v>
      </c>
      <c r="D17" s="124">
        <v>2027</v>
      </c>
      <c r="E17" s="124" t="s">
        <v>48</v>
      </c>
    </row>
    <row r="18" spans="1:5">
      <c r="A18" s="13" t="s">
        <v>58</v>
      </c>
      <c r="B18" s="124">
        <v>330</v>
      </c>
      <c r="C18" s="124">
        <v>2017</v>
      </c>
      <c r="D18" s="124">
        <v>2026</v>
      </c>
      <c r="E18" s="124" t="s">
        <v>59</v>
      </c>
    </row>
    <row r="19" spans="1:5">
      <c r="A19" s="13" t="s">
        <v>60</v>
      </c>
      <c r="B19" s="124">
        <v>214</v>
      </c>
      <c r="C19" s="124">
        <v>2017</v>
      </c>
      <c r="D19" s="124">
        <v>2031</v>
      </c>
      <c r="E19" s="124" t="s">
        <v>48</v>
      </c>
    </row>
    <row r="20" spans="1:5">
      <c r="A20" s="13" t="s">
        <v>61</v>
      </c>
      <c r="B20" s="124">
        <v>550</v>
      </c>
      <c r="C20" s="124">
        <v>2020</v>
      </c>
      <c r="D20" s="124">
        <v>2030</v>
      </c>
      <c r="E20" s="124" t="s">
        <v>59</v>
      </c>
    </row>
    <row r="21" spans="1:5">
      <c r="A21" s="13" t="s">
        <v>62</v>
      </c>
      <c r="B21" s="123">
        <v>3300</v>
      </c>
      <c r="C21" s="124">
        <v>2022</v>
      </c>
      <c r="D21" s="124">
        <v>2031</v>
      </c>
      <c r="E21" s="124" t="s">
        <v>59</v>
      </c>
    </row>
    <row r="22" spans="1:5">
      <c r="A22" s="13" t="s">
        <v>63</v>
      </c>
      <c r="B22" s="124">
        <v>200</v>
      </c>
      <c r="C22" s="124">
        <v>2023</v>
      </c>
      <c r="D22" s="124">
        <v>2030</v>
      </c>
      <c r="E22" s="124" t="s">
        <v>59</v>
      </c>
    </row>
    <row r="23" spans="1:5">
      <c r="A23" s="13" t="s">
        <v>64</v>
      </c>
      <c r="B23" s="124" t="s">
        <v>65</v>
      </c>
      <c r="C23" s="124" t="s">
        <v>66</v>
      </c>
      <c r="D23" s="124" t="s">
        <v>67</v>
      </c>
      <c r="E23" s="124" t="s">
        <v>59</v>
      </c>
    </row>
    <row r="24" spans="1:5">
      <c r="A24" s="13" t="s">
        <v>68</v>
      </c>
      <c r="B24" s="124">
        <v>24</v>
      </c>
      <c r="C24" s="124">
        <v>2024</v>
      </c>
      <c r="D24" s="124">
        <v>2033</v>
      </c>
      <c r="E24" s="124" t="s">
        <v>59</v>
      </c>
    </row>
    <row r="25" spans="1:5">
      <c r="A25" s="13" t="s">
        <v>69</v>
      </c>
      <c r="B25" s="124">
        <v>280</v>
      </c>
      <c r="C25" s="124">
        <v>2025</v>
      </c>
      <c r="D25" s="124">
        <v>2035</v>
      </c>
      <c r="E25" s="124" t="s">
        <v>59</v>
      </c>
    </row>
    <row r="26" spans="1:5">
      <c r="A26" s="13" t="s">
        <v>70</v>
      </c>
      <c r="B26" s="124">
        <v>912</v>
      </c>
      <c r="C26" s="124">
        <v>2025</v>
      </c>
      <c r="D26" s="124">
        <v>2039</v>
      </c>
      <c r="E26" s="124" t="s">
        <v>59</v>
      </c>
    </row>
    <row r="27" spans="1:5">
      <c r="A27" s="13" t="s">
        <v>71</v>
      </c>
      <c r="B27" s="123">
        <v>1100</v>
      </c>
      <c r="C27" s="124">
        <v>2026</v>
      </c>
      <c r="D27" s="124">
        <v>2040</v>
      </c>
      <c r="E27" s="124" t="s">
        <v>59</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9" tint="0.79998168889431442"/>
  </sheetPr>
  <dimension ref="A4:BG54"/>
  <sheetViews>
    <sheetView topLeftCell="B1" zoomScale="53" zoomScaleNormal="53" workbookViewId="0">
      <selection activeCell="H36" sqref="H36:H37"/>
    </sheetView>
  </sheetViews>
  <sheetFormatPr baseColWidth="10" defaultColWidth="11.453125" defaultRowHeight="13.5"/>
  <cols>
    <col min="1" max="1" width="7.453125" style="1" hidden="1" customWidth="1"/>
    <col min="2" max="2" width="40" style="1" bestFit="1" customWidth="1"/>
    <col min="3" max="6" width="11.453125" style="1"/>
    <col min="7" max="7" width="11.453125" style="56" customWidth="1"/>
    <col min="8" max="8" width="37.453125" style="1" customWidth="1"/>
    <col min="9" max="46" width="11.453125" style="1" customWidth="1"/>
    <col min="47" max="16384" width="11.453125" style="1"/>
  </cols>
  <sheetData>
    <row r="4" spans="1:50"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row>
    <row r="6" spans="1:50">
      <c r="A6" s="1">
        <v>1</v>
      </c>
      <c r="B6" s="3" t="s">
        <v>72</v>
      </c>
      <c r="C6" s="138" t="s">
        <v>112</v>
      </c>
      <c r="D6" s="138" t="s">
        <v>221</v>
      </c>
      <c r="E6" s="138" t="s">
        <v>75</v>
      </c>
      <c r="G6" s="56">
        <v>1</v>
      </c>
      <c r="H6" s="3" t="s">
        <v>72</v>
      </c>
      <c r="I6" s="138" t="s">
        <v>76</v>
      </c>
      <c r="J6" s="138" t="s">
        <v>77</v>
      </c>
      <c r="K6" s="138" t="s">
        <v>78</v>
      </c>
      <c r="L6" s="138" t="s">
        <v>79</v>
      </c>
      <c r="M6" s="138" t="s">
        <v>80</v>
      </c>
      <c r="N6" s="138" t="s">
        <v>81</v>
      </c>
      <c r="O6" s="138" t="s">
        <v>82</v>
      </c>
      <c r="P6" s="138" t="s">
        <v>83</v>
      </c>
      <c r="Q6" s="138" t="s">
        <v>84</v>
      </c>
      <c r="R6" s="138" t="s">
        <v>85</v>
      </c>
      <c r="S6" s="138" t="s">
        <v>86</v>
      </c>
      <c r="T6" s="138" t="s">
        <v>87</v>
      </c>
      <c r="U6" s="138" t="s">
        <v>88</v>
      </c>
      <c r="V6" s="138" t="s">
        <v>89</v>
      </c>
      <c r="W6" s="138" t="s">
        <v>90</v>
      </c>
      <c r="X6" s="138" t="s">
        <v>91</v>
      </c>
      <c r="Y6" s="138" t="s">
        <v>92</v>
      </c>
      <c r="Z6" s="138" t="s">
        <v>93</v>
      </c>
      <c r="AA6" s="138" t="s">
        <v>94</v>
      </c>
      <c r="AB6" s="138" t="s">
        <v>95</v>
      </c>
      <c r="AC6" s="138" t="s">
        <v>96</v>
      </c>
      <c r="AD6" s="138" t="s">
        <v>97</v>
      </c>
      <c r="AE6" s="138" t="s">
        <v>98</v>
      </c>
      <c r="AF6" s="138" t="s">
        <v>99</v>
      </c>
      <c r="AG6" s="138" t="s">
        <v>100</v>
      </c>
      <c r="AH6" s="138" t="s">
        <v>101</v>
      </c>
      <c r="AI6" s="138" t="s">
        <v>102</v>
      </c>
      <c r="AJ6" s="138" t="s">
        <v>103</v>
      </c>
      <c r="AK6" s="138" t="s">
        <v>104</v>
      </c>
      <c r="AL6" s="138" t="s">
        <v>105</v>
      </c>
      <c r="AM6" s="138" t="s">
        <v>106</v>
      </c>
      <c r="AN6" s="138" t="s">
        <v>107</v>
      </c>
      <c r="AO6" s="138" t="s">
        <v>108</v>
      </c>
      <c r="AP6" s="138" t="s">
        <v>109</v>
      </c>
      <c r="AQ6" s="138" t="s">
        <v>110</v>
      </c>
      <c r="AR6" s="138" t="s">
        <v>111</v>
      </c>
      <c r="AS6" s="138" t="s">
        <v>73</v>
      </c>
      <c r="AT6" s="138" t="s">
        <v>112</v>
      </c>
      <c r="AU6" s="138" t="s">
        <v>113</v>
      </c>
      <c r="AV6" s="138" t="s">
        <v>114</v>
      </c>
      <c r="AW6" s="138" t="s">
        <v>74</v>
      </c>
      <c r="AX6" s="138" t="s">
        <v>221</v>
      </c>
    </row>
    <row r="7" spans="1:50">
      <c r="A7" s="1">
        <f>+A6+1</f>
        <v>2</v>
      </c>
      <c r="B7" s="3" t="s">
        <v>115</v>
      </c>
      <c r="C7" s="138"/>
      <c r="D7" s="138"/>
      <c r="E7" s="138"/>
      <c r="G7" s="56">
        <f>G6+1</f>
        <v>2</v>
      </c>
      <c r="H7" s="3" t="s">
        <v>115</v>
      </c>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row>
    <row r="8" spans="1:50">
      <c r="A8" s="1">
        <f t="shared" ref="A8:A29" si="0">+A7+1</f>
        <v>3</v>
      </c>
      <c r="C8" s="80"/>
      <c r="D8" s="80"/>
      <c r="E8" s="55"/>
      <c r="G8" s="56">
        <f t="shared" ref="G8:G29" si="1">G7+1</f>
        <v>3</v>
      </c>
    </row>
    <row r="9" spans="1:50">
      <c r="A9" s="1">
        <f t="shared" si="0"/>
        <v>4</v>
      </c>
      <c r="B9" s="6" t="s">
        <v>116</v>
      </c>
      <c r="C9" s="109">
        <f>+SUM(C11:C13)</f>
        <v>3441.900620641658</v>
      </c>
      <c r="D9" s="109">
        <f t="shared" ref="D9" si="2">+SUM(D11:D13)</f>
        <v>3187.1072144175605</v>
      </c>
      <c r="E9" s="66">
        <f>D9/C9-1</f>
        <v>-7.4026950312295003E-2</v>
      </c>
      <c r="G9" s="56">
        <f t="shared" si="1"/>
        <v>4</v>
      </c>
      <c r="H9" s="6" t="s">
        <v>116</v>
      </c>
      <c r="I9" s="23">
        <f>SUM(I11:I13)</f>
        <v>2560.681023770358</v>
      </c>
      <c r="J9" s="23">
        <f t="shared" ref="J9:W9" si="3">SUM(J11:J13)</f>
        <v>3204.9189762296419</v>
      </c>
      <c r="K9" s="23">
        <f t="shared" si="3"/>
        <v>3160</v>
      </c>
      <c r="L9" s="23">
        <f t="shared" si="3"/>
        <v>3256.6374880461249</v>
      </c>
      <c r="M9" s="23">
        <f t="shared" si="3"/>
        <v>3108.5000952819764</v>
      </c>
      <c r="N9" s="23">
        <f t="shared" si="3"/>
        <v>3307.390542442422</v>
      </c>
      <c r="O9" s="23">
        <f t="shared" si="3"/>
        <v>3196.9342477735267</v>
      </c>
      <c r="P9" s="23">
        <f t="shared" si="3"/>
        <v>2884.5970569424348</v>
      </c>
      <c r="Q9" s="23">
        <f t="shared" si="3"/>
        <v>3159.4090628176209</v>
      </c>
      <c r="R9" s="23">
        <f t="shared" si="3"/>
        <v>3243.5380586726274</v>
      </c>
      <c r="S9" s="23">
        <f t="shared" si="3"/>
        <v>2781</v>
      </c>
      <c r="T9" s="23">
        <f t="shared" si="3"/>
        <v>2772.5335138224214</v>
      </c>
      <c r="U9" s="23">
        <f t="shared" si="3"/>
        <v>3110.0663316242094</v>
      </c>
      <c r="V9" s="23">
        <f t="shared" si="3"/>
        <v>3272.6612769021672</v>
      </c>
      <c r="W9" s="23">
        <f t="shared" si="3"/>
        <v>3026.6000000000004</v>
      </c>
      <c r="X9" s="23">
        <f t="shared" ref="X9:Y9" si="4">SUM(X11:X13)</f>
        <v>3018.3478999999998</v>
      </c>
      <c r="Y9" s="23">
        <f t="shared" si="4"/>
        <v>3407.8686676943248</v>
      </c>
      <c r="Z9" s="23">
        <f t="shared" ref="Z9" si="5">SUM(Z11:Z13)</f>
        <v>3424.7141303512244</v>
      </c>
      <c r="AA9" s="23">
        <f t="shared" ref="AA9:AN9" si="6">SUM(AA11:AA13)</f>
        <v>3024.3315116932845</v>
      </c>
      <c r="AB9" s="23">
        <f t="shared" si="6"/>
        <v>2985.7599999999998</v>
      </c>
      <c r="AC9" s="23">
        <f t="shared" si="6"/>
        <v>3258.472476178159</v>
      </c>
      <c r="AD9" s="23">
        <f t="shared" si="6"/>
        <v>3269.1335247947418</v>
      </c>
      <c r="AE9" s="23">
        <f t="shared" si="6"/>
        <v>2892.5098733903596</v>
      </c>
      <c r="AF9" s="23">
        <f t="shared" si="6"/>
        <v>2757.7442338119999</v>
      </c>
      <c r="AG9" s="23">
        <f t="shared" si="6"/>
        <v>2894.7184263164395</v>
      </c>
      <c r="AH9" s="23">
        <f t="shared" si="6"/>
        <v>3020.1895664713779</v>
      </c>
      <c r="AI9" s="23">
        <f t="shared" si="6"/>
        <v>3453.1873442230267</v>
      </c>
      <c r="AJ9" s="23">
        <f t="shared" si="6"/>
        <v>2677.069158441248</v>
      </c>
      <c r="AK9" s="23">
        <f t="shared" si="6"/>
        <v>2521.9834357051286</v>
      </c>
      <c r="AL9" s="23">
        <f t="shared" si="6"/>
        <v>3075.8702213144702</v>
      </c>
      <c r="AM9" s="23">
        <f t="shared" si="6"/>
        <v>2756.2184222706778</v>
      </c>
      <c r="AN9" s="23">
        <f t="shared" si="6"/>
        <v>2582.3047501758483</v>
      </c>
      <c r="AO9" s="23">
        <f>SUM(AO11:AO13)</f>
        <v>3189.7721410092995</v>
      </c>
      <c r="AP9" s="23">
        <v>3549.1337173741799</v>
      </c>
      <c r="AQ9" s="72">
        <f>+SUM(AQ11:AQ13)</f>
        <v>3211.2314003461747</v>
      </c>
      <c r="AR9" s="72">
        <f>+SUM(AR11:AR13)</f>
        <v>3382.8923532927879</v>
      </c>
      <c r="AS9" s="72">
        <f t="shared" ref="AS9:AX9" si="7">+SUM(AS11:AS13)</f>
        <v>3362.9314742877596</v>
      </c>
      <c r="AT9" s="72">
        <f t="shared" si="7"/>
        <v>3441.900620641658</v>
      </c>
      <c r="AU9" s="72">
        <f t="shared" si="7"/>
        <v>3223.210721393848</v>
      </c>
      <c r="AV9" s="72">
        <f t="shared" si="7"/>
        <v>2945.9252992253309</v>
      </c>
      <c r="AW9" s="72">
        <f t="shared" si="7"/>
        <v>3131</v>
      </c>
      <c r="AX9" s="72">
        <f t="shared" si="7"/>
        <v>3187.1072144175605</v>
      </c>
    </row>
    <row r="10" spans="1:50" ht="5.25" customHeight="1">
      <c r="A10" s="1">
        <f t="shared" si="0"/>
        <v>5</v>
      </c>
      <c r="C10" s="80"/>
      <c r="D10" s="80"/>
      <c r="E10" s="80"/>
      <c r="G10" s="56">
        <f t="shared" si="1"/>
        <v>5</v>
      </c>
    </row>
    <row r="11" spans="1:50">
      <c r="A11" s="1">
        <f t="shared" si="0"/>
        <v>6</v>
      </c>
      <c r="B11" s="5" t="s">
        <v>117</v>
      </c>
      <c r="C11" s="24">
        <f>HLOOKUP($C$6,$H$6:$BG$29,$G11,FALSE)</f>
        <v>656.82865500000003</v>
      </c>
      <c r="D11" s="24">
        <f>HLOOKUP($D$6,$H$6:$BG$29,$G11,FALSE)</f>
        <v>270.86639134540974</v>
      </c>
      <c r="E11" s="47">
        <f>+D11/C11-1</f>
        <v>-0.58761483792845537</v>
      </c>
      <c r="G11" s="56">
        <f t="shared" si="1"/>
        <v>6</v>
      </c>
      <c r="H11" s="5" t="s">
        <v>117</v>
      </c>
      <c r="I11" s="24">
        <v>1109</v>
      </c>
      <c r="J11" s="24">
        <v>1621</v>
      </c>
      <c r="K11" s="24">
        <v>1816</v>
      </c>
      <c r="L11" s="24">
        <v>2109</v>
      </c>
      <c r="M11" s="24">
        <v>1733.6471680194898</v>
      </c>
      <c r="N11" s="24">
        <v>1698.807051092178</v>
      </c>
      <c r="O11" s="24">
        <v>1635.6751473021668</v>
      </c>
      <c r="P11" s="24">
        <v>1556.7919803760619</v>
      </c>
      <c r="Q11" s="24">
        <v>1644.6652440438811</v>
      </c>
      <c r="R11" s="24">
        <v>1622.1834633647968</v>
      </c>
      <c r="S11" s="24">
        <v>1621</v>
      </c>
      <c r="T11" s="24">
        <v>1645.6228534367942</v>
      </c>
      <c r="U11" s="24">
        <v>1654.636696809614</v>
      </c>
      <c r="V11" s="24">
        <v>1578.8122475593327</v>
      </c>
      <c r="W11" s="24">
        <v>1579.9</v>
      </c>
      <c r="X11" s="24">
        <v>1489.7</v>
      </c>
      <c r="Y11" s="24">
        <v>1416.5104173471059</v>
      </c>
      <c r="Z11" s="24">
        <v>1376.7867522959921</v>
      </c>
      <c r="AA11" s="24">
        <v>1368.2160000000001</v>
      </c>
      <c r="AB11" s="24">
        <v>1255.8720000000001</v>
      </c>
      <c r="AC11" s="24">
        <v>1086.4614696775211</v>
      </c>
      <c r="AD11" s="24">
        <v>1111.3063159999999</v>
      </c>
      <c r="AE11" s="24">
        <v>1125.5098733903596</v>
      </c>
      <c r="AF11" s="24">
        <v>1024.871184053</v>
      </c>
      <c r="AG11" s="24">
        <v>788.30658700000004</v>
      </c>
      <c r="AH11" s="24">
        <v>783.91245300000003</v>
      </c>
      <c r="AI11" s="24">
        <v>827.47447275453328</v>
      </c>
      <c r="AJ11" s="24">
        <v>753.238795281791</v>
      </c>
      <c r="AK11" s="24">
        <v>727.339743</v>
      </c>
      <c r="AL11" s="24">
        <v>789.44461200000001</v>
      </c>
      <c r="AM11" s="24">
        <v>845.33437100000003</v>
      </c>
      <c r="AN11" s="24">
        <v>741.87227310000003</v>
      </c>
      <c r="AO11" s="24">
        <v>549.42374394000001</v>
      </c>
      <c r="AP11" s="24">
        <v>621.5</v>
      </c>
      <c r="AQ11" s="24">
        <v>658.12348699999995</v>
      </c>
      <c r="AR11" s="24">
        <v>580.798226</v>
      </c>
      <c r="AS11" s="24">
        <v>620.50865699999997</v>
      </c>
      <c r="AT11" s="24">
        <v>656.82865500000003</v>
      </c>
      <c r="AU11" s="24">
        <v>694.58223799999996</v>
      </c>
      <c r="AV11" s="24">
        <v>608.15510398702861</v>
      </c>
      <c r="AW11" s="24">
        <v>248</v>
      </c>
      <c r="AX11" s="24">
        <v>270.86639134540974</v>
      </c>
    </row>
    <row r="12" spans="1:50">
      <c r="A12" s="1">
        <f t="shared" si="0"/>
        <v>7</v>
      </c>
      <c r="B12" s="5" t="s">
        <v>118</v>
      </c>
      <c r="C12" s="24">
        <f t="shared" ref="C12:C29" si="8">HLOOKUP($C$6,$H$6:$BG$29,$G12,FALSE)</f>
        <v>2324.8149741464308</v>
      </c>
      <c r="D12" s="24">
        <f t="shared" ref="D12:D29" si="9">HLOOKUP($D$6,$H$6:$BG$29,$G12,FALSE)</f>
        <v>2251.3448735939332</v>
      </c>
      <c r="E12" s="47">
        <f t="shared" ref="E12:E13" si="10">+D12/C12-1</f>
        <v>-3.1602558211959453E-2</v>
      </c>
      <c r="G12" s="56">
        <f t="shared" si="1"/>
        <v>7</v>
      </c>
      <c r="H12" s="5" t="s">
        <v>118</v>
      </c>
      <c r="I12" s="24">
        <v>1232.7135073230352</v>
      </c>
      <c r="J12" s="24">
        <v>1159.3864926769647</v>
      </c>
      <c r="K12" s="24">
        <v>1197</v>
      </c>
      <c r="L12" s="24">
        <v>1147.6374880461249</v>
      </c>
      <c r="M12" s="24">
        <v>1047.8529272624869</v>
      </c>
      <c r="N12" s="24">
        <v>1124.583491350244</v>
      </c>
      <c r="O12" s="24">
        <v>1105.54281147136</v>
      </c>
      <c r="P12" s="24">
        <v>1150.043912020727</v>
      </c>
      <c r="Q12" s="24">
        <v>1111.9510521693539</v>
      </c>
      <c r="R12" s="24">
        <v>1108.645275548731</v>
      </c>
      <c r="S12" s="24">
        <v>1160</v>
      </c>
      <c r="T12" s="24">
        <v>1126.9106603856271</v>
      </c>
      <c r="U12" s="24">
        <v>1099.855435357053</v>
      </c>
      <c r="V12" s="24">
        <v>1217.4004521789029</v>
      </c>
      <c r="W12" s="24">
        <v>1230.9000000000001</v>
      </c>
      <c r="X12" s="24">
        <v>1183.54</v>
      </c>
      <c r="Y12" s="24">
        <v>1466.8419977512128</v>
      </c>
      <c r="Z12" s="24">
        <v>1530.5063780552321</v>
      </c>
      <c r="AA12" s="24">
        <v>1541.9482833212292</v>
      </c>
      <c r="AB12" s="24">
        <v>1573.4090000000001</v>
      </c>
      <c r="AC12" s="24">
        <v>1492.418422</v>
      </c>
      <c r="AD12" s="24">
        <v>1592.1897899999999</v>
      </c>
      <c r="AE12" s="24">
        <v>1736</v>
      </c>
      <c r="AF12" s="24">
        <v>1732.873049759</v>
      </c>
      <c r="AG12" s="24">
        <v>1706.4336673559997</v>
      </c>
      <c r="AH12" s="24">
        <v>1735.752988406</v>
      </c>
      <c r="AI12" s="24">
        <v>1836.2943763810001</v>
      </c>
      <c r="AJ12" s="24">
        <v>1888.6207892510001</v>
      </c>
      <c r="AK12" s="24">
        <v>1707.3468317219999</v>
      </c>
      <c r="AL12" s="24">
        <v>1664.834742816</v>
      </c>
      <c r="AM12" s="24">
        <v>1657.2472537999997</v>
      </c>
      <c r="AN12" s="24">
        <v>1660.6383312630001</v>
      </c>
      <c r="AO12" s="24">
        <v>2400.3483970692996</v>
      </c>
      <c r="AP12" s="24">
        <v>2392.6337173741799</v>
      </c>
      <c r="AQ12" s="24">
        <v>2322.5894881851978</v>
      </c>
      <c r="AR12" s="24">
        <v>2353.6511074476302</v>
      </c>
      <c r="AS12" s="24">
        <v>2437.9651715052864</v>
      </c>
      <c r="AT12" s="24">
        <v>2324.8149741464308</v>
      </c>
      <c r="AU12" s="24">
        <v>2278.8760803244145</v>
      </c>
      <c r="AV12" s="24">
        <v>2302.6114499313521</v>
      </c>
      <c r="AW12" s="24">
        <v>2330</v>
      </c>
      <c r="AX12" s="24">
        <v>2251.3448735939332</v>
      </c>
    </row>
    <row r="13" spans="1:50">
      <c r="A13" s="1">
        <f t="shared" si="0"/>
        <v>8</v>
      </c>
      <c r="B13" s="5" t="s">
        <v>119</v>
      </c>
      <c r="C13" s="57">
        <f t="shared" si="8"/>
        <v>460.25699149522723</v>
      </c>
      <c r="D13" s="57">
        <f t="shared" si="9"/>
        <v>664.89594947821729</v>
      </c>
      <c r="E13" s="47">
        <f t="shared" si="10"/>
        <v>0.44461890153625649</v>
      </c>
      <c r="G13" s="56">
        <f t="shared" si="1"/>
        <v>8</v>
      </c>
      <c r="H13" s="5" t="s">
        <v>119</v>
      </c>
      <c r="I13" s="24">
        <v>218.96751644732302</v>
      </c>
      <c r="J13" s="24">
        <v>424.53248355267698</v>
      </c>
      <c r="K13" s="24">
        <v>147</v>
      </c>
      <c r="L13" s="29">
        <v>0</v>
      </c>
      <c r="M13" s="24">
        <v>327</v>
      </c>
      <c r="N13" s="24">
        <v>484</v>
      </c>
      <c r="O13" s="24">
        <v>455.71628899999996</v>
      </c>
      <c r="P13" s="24">
        <v>177.76116454564578</v>
      </c>
      <c r="Q13" s="24">
        <v>402.79276660438609</v>
      </c>
      <c r="R13" s="24">
        <v>512.70931975909969</v>
      </c>
      <c r="S13" s="29">
        <v>0</v>
      </c>
      <c r="T13" s="29">
        <v>0</v>
      </c>
      <c r="U13" s="24">
        <v>355.57419945754248</v>
      </c>
      <c r="V13" s="24">
        <v>476.44857716393153</v>
      </c>
      <c r="W13" s="24">
        <v>215.8</v>
      </c>
      <c r="X13" s="24">
        <v>345.10789999999997</v>
      </c>
      <c r="Y13" s="24">
        <v>524.51625259600632</v>
      </c>
      <c r="Z13" s="24">
        <v>517.42100000000005</v>
      </c>
      <c r="AA13" s="24">
        <v>114.16722837205532</v>
      </c>
      <c r="AB13" s="24">
        <v>156.47899999999998</v>
      </c>
      <c r="AC13" s="24">
        <v>679.59258450063749</v>
      </c>
      <c r="AD13" s="24">
        <v>565.63741879474242</v>
      </c>
      <c r="AE13" s="24">
        <v>31</v>
      </c>
      <c r="AF13" s="57">
        <v>0</v>
      </c>
      <c r="AG13" s="57">
        <v>399.97817196043991</v>
      </c>
      <c r="AH13" s="57">
        <v>500.52412506537814</v>
      </c>
      <c r="AI13" s="57">
        <v>789.41849508749317</v>
      </c>
      <c r="AJ13" s="57">
        <v>35.209573908457287</v>
      </c>
      <c r="AK13" s="57">
        <v>87.296860983128909</v>
      </c>
      <c r="AL13" s="57">
        <v>621.59086649847029</v>
      </c>
      <c r="AM13" s="57">
        <v>253.63679747067806</v>
      </c>
      <c r="AN13" s="57">
        <v>179.794145812848</v>
      </c>
      <c r="AO13" s="57">
        <v>240</v>
      </c>
      <c r="AP13" s="24">
        <v>535</v>
      </c>
      <c r="AQ13" s="57">
        <v>230.51842516097702</v>
      </c>
      <c r="AR13" s="57">
        <v>448.44301984515789</v>
      </c>
      <c r="AS13" s="57">
        <v>304.45764578247338</v>
      </c>
      <c r="AT13" s="57">
        <v>460.25699149522723</v>
      </c>
      <c r="AU13" s="57">
        <v>249.75240306943329</v>
      </c>
      <c r="AV13" s="57">
        <v>35.158745306949982</v>
      </c>
      <c r="AW13" s="57">
        <v>553</v>
      </c>
      <c r="AX13" s="57">
        <v>664.89594947821729</v>
      </c>
    </row>
    <row r="14" spans="1:50" ht="5.25" customHeight="1">
      <c r="A14" s="1">
        <f t="shared" si="0"/>
        <v>9</v>
      </c>
      <c r="C14" s="80"/>
      <c r="D14" s="80"/>
      <c r="E14" s="80"/>
      <c r="G14" s="56">
        <f t="shared" si="1"/>
        <v>9</v>
      </c>
    </row>
    <row r="15" spans="1:50">
      <c r="A15" s="1">
        <f t="shared" si="0"/>
        <v>10</v>
      </c>
      <c r="B15" s="5" t="s">
        <v>120</v>
      </c>
      <c r="C15" s="24">
        <f t="shared" si="8"/>
        <v>1622.8204694444448</v>
      </c>
      <c r="D15" s="24">
        <f t="shared" si="9"/>
        <v>1339.749466742215</v>
      </c>
      <c r="E15" s="47">
        <f>+D15/C15-1</f>
        <v>-0.17443149629431043</v>
      </c>
      <c r="G15" s="56">
        <f t="shared" si="1"/>
        <v>10</v>
      </c>
      <c r="H15" s="5" t="s">
        <v>120</v>
      </c>
      <c r="I15" s="24">
        <v>1750</v>
      </c>
      <c r="J15" s="24">
        <v>1676.5379</v>
      </c>
      <c r="K15" s="24">
        <v>1717</v>
      </c>
      <c r="L15" s="24">
        <v>1658.537353248</v>
      </c>
      <c r="M15" s="24">
        <v>1593</v>
      </c>
      <c r="N15" s="24">
        <v>1584.2553333333301</v>
      </c>
      <c r="O15" s="24">
        <v>1585</v>
      </c>
      <c r="P15" s="24">
        <v>1509.0192104540001</v>
      </c>
      <c r="Q15" s="24">
        <v>1516.2572692093333</v>
      </c>
      <c r="R15" s="24">
        <v>1586.312932267</v>
      </c>
      <c r="S15" s="24">
        <v>1611</v>
      </c>
      <c r="T15" s="24">
        <v>1605.0969330646667</v>
      </c>
      <c r="U15" s="24">
        <v>1608.011451372</v>
      </c>
      <c r="V15" s="24">
        <v>1580.915037662</v>
      </c>
      <c r="W15" s="24">
        <v>1615</v>
      </c>
      <c r="X15" s="24">
        <v>1629.6032617540002</v>
      </c>
      <c r="Y15" s="24">
        <v>1632.7914912306667</v>
      </c>
      <c r="Z15" s="24">
        <v>1609.7</v>
      </c>
      <c r="AA15" s="24">
        <v>1656.6028448940003</v>
      </c>
      <c r="AB15" s="24">
        <v>1663.0676706436664</v>
      </c>
      <c r="AC15" s="24">
        <v>1664</v>
      </c>
      <c r="AD15" s="24">
        <v>1574.1138055772778</v>
      </c>
      <c r="AE15" s="24">
        <v>1578.1126254887251</v>
      </c>
      <c r="AF15" s="24">
        <v>1558</v>
      </c>
      <c r="AG15" s="24">
        <v>1389.7428849012347</v>
      </c>
      <c r="AH15" s="24">
        <v>1439.5195898763534</v>
      </c>
      <c r="AI15" s="24">
        <v>1486.0694283366595</v>
      </c>
      <c r="AJ15" s="24">
        <v>1469.0334855196272</v>
      </c>
      <c r="AK15" s="24">
        <v>1323.0963587452404</v>
      </c>
      <c r="AL15" s="24">
        <v>1323.2185192444949</v>
      </c>
      <c r="AM15" s="24">
        <v>1286.3544123736108</v>
      </c>
      <c r="AN15" s="24">
        <v>1278.6488390333336</v>
      </c>
      <c r="AO15" s="24">
        <v>1463.4840641741039</v>
      </c>
      <c r="AP15" s="24">
        <v>1551.5266405666669</v>
      </c>
      <c r="AQ15" s="24">
        <v>1626.2785669833331</v>
      </c>
      <c r="AR15" s="24">
        <v>1550.5775907120942</v>
      </c>
      <c r="AS15" s="24">
        <v>1628.6184444444445</v>
      </c>
      <c r="AT15" s="24">
        <v>1622.8204694444448</v>
      </c>
      <c r="AU15" s="24">
        <v>1625.071102111111</v>
      </c>
      <c r="AV15" s="24">
        <v>1625.9696393333334</v>
      </c>
      <c r="AW15" s="24">
        <v>1336</v>
      </c>
      <c r="AX15" s="24">
        <v>1339.749466742215</v>
      </c>
    </row>
    <row r="16" spans="1:50" ht="10.5" customHeight="1">
      <c r="A16" s="1">
        <f t="shared" si="0"/>
        <v>11</v>
      </c>
      <c r="C16" s="80"/>
      <c r="D16" s="80"/>
      <c r="E16" s="80"/>
      <c r="G16" s="56">
        <f t="shared" si="1"/>
        <v>11</v>
      </c>
    </row>
    <row r="17" spans="1:59">
      <c r="A17" s="1">
        <f t="shared" si="0"/>
        <v>12</v>
      </c>
      <c r="B17" s="6" t="s">
        <v>121</v>
      </c>
      <c r="C17" s="110">
        <f t="shared" si="8"/>
        <v>3514</v>
      </c>
      <c r="D17" s="110">
        <f t="shared" si="9"/>
        <v>3252.7348813126355</v>
      </c>
      <c r="E17" s="66">
        <f>D17/C17-1</f>
        <v>-7.4349777657189642E-2</v>
      </c>
      <c r="G17" s="56">
        <f t="shared" si="1"/>
        <v>12</v>
      </c>
      <c r="H17" s="6" t="s">
        <v>121</v>
      </c>
      <c r="I17" s="23">
        <f>+I19+I20+I24</f>
        <v>3267.9317000000001</v>
      </c>
      <c r="J17" s="23">
        <f t="shared" ref="J17:Y17" si="11">+J19+J20+J24</f>
        <v>3498.9682999999995</v>
      </c>
      <c r="K17" s="23">
        <f t="shared" si="11"/>
        <v>3240</v>
      </c>
      <c r="L17" s="23">
        <f t="shared" si="11"/>
        <v>2855.1034</v>
      </c>
      <c r="M17" s="23">
        <f t="shared" si="11"/>
        <v>3195.3278</v>
      </c>
      <c r="N17" s="23">
        <f t="shared" si="11"/>
        <v>3388.34238</v>
      </c>
      <c r="O17" s="23">
        <f t="shared" si="11"/>
        <v>3270.1603</v>
      </c>
      <c r="P17" s="23">
        <f t="shared" si="11"/>
        <v>2792.3428942799992</v>
      </c>
      <c r="Q17" s="23">
        <f t="shared" si="11"/>
        <v>3221.5743400000001</v>
      </c>
      <c r="R17" s="23">
        <f t="shared" si="11"/>
        <v>3312.9959699999995</v>
      </c>
      <c r="S17" s="23">
        <f t="shared" si="11"/>
        <v>2412</v>
      </c>
      <c r="T17" s="23">
        <f t="shared" si="11"/>
        <v>2329.3105321120001</v>
      </c>
      <c r="U17" s="23">
        <f>+U19+U20+U24</f>
        <v>3191.2302385571666</v>
      </c>
      <c r="V17" s="23">
        <f t="shared" si="11"/>
        <v>3386.4810116580002</v>
      </c>
      <c r="W17" s="23">
        <f t="shared" si="11"/>
        <v>3058.0208900000002</v>
      </c>
      <c r="X17" s="23">
        <f t="shared" si="11"/>
        <v>3079.87891455</v>
      </c>
      <c r="Y17" s="23">
        <f t="shared" si="11"/>
        <v>3455.3460179723684</v>
      </c>
      <c r="Z17" s="23">
        <f t="shared" ref="Z17:AD17" si="12">+Z19+Z20+Z24</f>
        <v>3514.8398608767438</v>
      </c>
      <c r="AA17" s="23">
        <f t="shared" si="12"/>
        <v>3026.0395302917295</v>
      </c>
      <c r="AB17" s="23">
        <f t="shared" si="12"/>
        <v>3009.206121845772</v>
      </c>
      <c r="AC17" s="23">
        <f t="shared" si="12"/>
        <v>3334.4824444330111</v>
      </c>
      <c r="AD17" s="23">
        <f t="shared" si="12"/>
        <v>3334.3651071043373</v>
      </c>
      <c r="AE17" s="23">
        <f t="shared" ref="AE17:AO17" si="13">+AE19+AE20+AE24</f>
        <v>2589.5097437221884</v>
      </c>
      <c r="AF17" s="23">
        <f t="shared" si="13"/>
        <v>2668.8125995100431</v>
      </c>
      <c r="AG17" s="23">
        <f t="shared" si="13"/>
        <v>2984.4361867917678</v>
      </c>
      <c r="AH17" s="23">
        <f t="shared" si="13"/>
        <v>3113.9792090261044</v>
      </c>
      <c r="AI17" s="23">
        <f t="shared" si="13"/>
        <v>3546.1705021388707</v>
      </c>
      <c r="AJ17" s="23">
        <f t="shared" si="13"/>
        <v>2458.4844822617697</v>
      </c>
      <c r="AK17" s="23">
        <f t="shared" si="13"/>
        <v>2427.5366890469759</v>
      </c>
      <c r="AL17" s="23">
        <f t="shared" si="13"/>
        <v>3178.2279143636388</v>
      </c>
      <c r="AM17" s="23">
        <f t="shared" si="13"/>
        <v>2848.5002574529099</v>
      </c>
      <c r="AN17" s="23">
        <f t="shared" si="13"/>
        <v>2539.9450362503558</v>
      </c>
      <c r="AO17" s="23">
        <f t="shared" si="13"/>
        <v>3250.2045634470992</v>
      </c>
      <c r="AP17" s="23">
        <f>+AP19+AP20+AP24</f>
        <v>3622.6417945302269</v>
      </c>
      <c r="AQ17" s="23">
        <v>3245.4704948692488</v>
      </c>
      <c r="AR17" s="23">
        <f>+AR19+AR20+AR24</f>
        <v>3451.635545530441</v>
      </c>
      <c r="AS17" s="23">
        <v>3445.2580091795307</v>
      </c>
      <c r="AT17" s="23">
        <v>3514</v>
      </c>
      <c r="AU17" s="23">
        <v>3236.9239240970542</v>
      </c>
      <c r="AV17" s="23">
        <f>+AV19+AV20+AV24</f>
        <v>2779.3657215288804</v>
      </c>
      <c r="AW17" s="23">
        <f>+AW19+AW20+AW24</f>
        <v>3224</v>
      </c>
      <c r="AX17" s="23">
        <f>+AX19+AX20+AX24</f>
        <v>3252.7348813126355</v>
      </c>
      <c r="BB17" s="25"/>
      <c r="BC17" s="25"/>
      <c r="BD17" s="25"/>
      <c r="BE17" s="25"/>
      <c r="BF17" s="25"/>
      <c r="BG17" s="69"/>
    </row>
    <row r="18" spans="1:59" ht="5.25" customHeight="1">
      <c r="A18" s="1">
        <f t="shared" si="0"/>
        <v>13</v>
      </c>
      <c r="C18" s="80"/>
      <c r="D18" s="80"/>
      <c r="E18" s="80"/>
      <c r="G18" s="56">
        <f t="shared" si="1"/>
        <v>13</v>
      </c>
    </row>
    <row r="19" spans="1:59">
      <c r="A19" s="1">
        <f t="shared" si="0"/>
        <v>14</v>
      </c>
      <c r="B19" s="27" t="s">
        <v>122</v>
      </c>
      <c r="C19" s="28">
        <f t="shared" si="8"/>
        <v>1140.1500000000001</v>
      </c>
      <c r="D19" s="28">
        <f t="shared" si="9"/>
        <v>1637.3545999999999</v>
      </c>
      <c r="E19" s="96">
        <f>+D19/C19-1</f>
        <v>0.43608700609568896</v>
      </c>
      <c r="G19" s="56">
        <f t="shared" si="1"/>
        <v>14</v>
      </c>
      <c r="H19" s="27" t="s">
        <v>122</v>
      </c>
      <c r="I19" s="28">
        <v>1108.7977000000001</v>
      </c>
      <c r="J19" s="28">
        <v>1620.9022999999997</v>
      </c>
      <c r="K19" s="28">
        <v>1816</v>
      </c>
      <c r="L19" s="28">
        <v>2109.0504000000001</v>
      </c>
      <c r="M19" s="28">
        <v>1097.7067999999999</v>
      </c>
      <c r="N19" s="28">
        <v>1357.50828</v>
      </c>
      <c r="O19" s="28">
        <v>1723.634</v>
      </c>
      <c r="P19" s="28">
        <v>2285.4995499999995</v>
      </c>
      <c r="Q19" s="28">
        <v>1287.5566399999998</v>
      </c>
      <c r="R19" s="28">
        <v>1338.0191999999997</v>
      </c>
      <c r="S19" s="28">
        <v>988</v>
      </c>
      <c r="T19" s="28">
        <v>1153.0769</v>
      </c>
      <c r="U19" s="28">
        <v>1089.2442348041668</v>
      </c>
      <c r="V19" s="28">
        <v>1248.1063999999999</v>
      </c>
      <c r="W19" s="28">
        <v>1403.1208899999999</v>
      </c>
      <c r="X19" s="28">
        <v>2156.30267</v>
      </c>
      <c r="Y19" s="28">
        <v>1409.2049400000001</v>
      </c>
      <c r="Z19" s="28">
        <v>1433.3703999999998</v>
      </c>
      <c r="AA19" s="28">
        <v>1348.5269000000001</v>
      </c>
      <c r="AB19" s="28">
        <v>2120.86</v>
      </c>
      <c r="AC19" s="28">
        <v>1194.2386000000001</v>
      </c>
      <c r="AD19" s="28">
        <v>1371.5127</v>
      </c>
      <c r="AE19" s="28">
        <v>1316.77403</v>
      </c>
      <c r="AF19" s="28">
        <v>1236.0530999999996</v>
      </c>
      <c r="AG19" s="28">
        <v>1119.644</v>
      </c>
      <c r="AH19" s="28">
        <v>981.54162999999994</v>
      </c>
      <c r="AI19" s="28">
        <v>1529.7404300000001</v>
      </c>
      <c r="AJ19" s="28">
        <v>1965.3616099999999</v>
      </c>
      <c r="AK19" s="28">
        <v>887.18420000000015</v>
      </c>
      <c r="AL19" s="28">
        <v>1155.0339199999999</v>
      </c>
      <c r="AM19" s="28">
        <v>899.10449999999992</v>
      </c>
      <c r="AN19" s="28">
        <v>963.90317000000005</v>
      </c>
      <c r="AO19" s="28">
        <v>804.20897000000002</v>
      </c>
      <c r="AP19" s="28">
        <v>1001.4244000000001</v>
      </c>
      <c r="AQ19" s="28">
        <v>1654.1555000000001</v>
      </c>
      <c r="AR19" s="28">
        <v>1703.0052000000001</v>
      </c>
      <c r="AS19" s="28">
        <v>955.55370000000016</v>
      </c>
      <c r="AT19" s="28">
        <v>1140.1500000000001</v>
      </c>
      <c r="AU19" s="28">
        <v>2427.6502</v>
      </c>
      <c r="AV19" s="28">
        <v>2349.1103000000003</v>
      </c>
      <c r="AW19" s="28">
        <v>1624</v>
      </c>
      <c r="AX19" s="28">
        <v>1637.3545999999999</v>
      </c>
    </row>
    <row r="20" spans="1:59">
      <c r="A20" s="1">
        <f t="shared" si="0"/>
        <v>15</v>
      </c>
      <c r="B20" s="27" t="s">
        <v>123</v>
      </c>
      <c r="C20" s="28">
        <f t="shared" si="8"/>
        <v>2204</v>
      </c>
      <c r="D20" s="28">
        <f t="shared" si="9"/>
        <v>1439.3030000000001</v>
      </c>
      <c r="E20" s="96">
        <f>+D20/C20-1</f>
        <v>-0.34695871143375678</v>
      </c>
      <c r="G20" s="56">
        <f t="shared" si="1"/>
        <v>15</v>
      </c>
      <c r="H20" s="27" t="s">
        <v>123</v>
      </c>
      <c r="I20" s="28">
        <f>SUM(I21:I23)</f>
        <v>2159.134</v>
      </c>
      <c r="J20" s="28">
        <f t="shared" ref="J20:Y20" si="14">SUM(J21:J23)</f>
        <v>1878.0659999999998</v>
      </c>
      <c r="K20" s="28">
        <f t="shared" si="14"/>
        <v>1424</v>
      </c>
      <c r="L20" s="28">
        <f t="shared" si="14"/>
        <v>719.053</v>
      </c>
      <c r="M20" s="28">
        <f t="shared" si="14"/>
        <v>2079.7550000000001</v>
      </c>
      <c r="N20" s="28">
        <f t="shared" si="14"/>
        <v>2003.309</v>
      </c>
      <c r="O20" s="28">
        <f t="shared" si="14"/>
        <v>1519.4349999999999</v>
      </c>
      <c r="P20" s="28">
        <f t="shared" si="14"/>
        <v>467.988</v>
      </c>
      <c r="Q20" s="28">
        <f t="shared" si="14"/>
        <v>1915.18</v>
      </c>
      <c r="R20" s="28">
        <f t="shared" si="14"/>
        <v>1956.502</v>
      </c>
      <c r="S20" s="28">
        <f t="shared" si="14"/>
        <v>1396</v>
      </c>
      <c r="T20" s="28">
        <f t="shared" si="14"/>
        <v>1146.3820000000001</v>
      </c>
      <c r="U20" s="28">
        <f t="shared" si="14"/>
        <v>2080.1379999999999</v>
      </c>
      <c r="V20" s="28">
        <f t="shared" si="14"/>
        <v>2109.0740000000001</v>
      </c>
      <c r="W20" s="28">
        <f t="shared" si="14"/>
        <v>1625.5</v>
      </c>
      <c r="X20" s="28">
        <f t="shared" si="14"/>
        <v>887.74</v>
      </c>
      <c r="Y20" s="28">
        <f t="shared" si="14"/>
        <v>2019.9259999999999</v>
      </c>
      <c r="Z20" s="28">
        <f t="shared" ref="Z20:AE20" si="15">SUM(Z21:Z23)</f>
        <v>2052.0571999999997</v>
      </c>
      <c r="AA20" s="28">
        <f t="shared" si="15"/>
        <v>1640.9929999999999</v>
      </c>
      <c r="AB20" s="28">
        <f t="shared" si="15"/>
        <v>844.64</v>
      </c>
      <c r="AC20" s="28">
        <f t="shared" si="15"/>
        <v>2113.667219685</v>
      </c>
      <c r="AD20" s="28">
        <f t="shared" si="15"/>
        <v>1902.7019399999999</v>
      </c>
      <c r="AE20" s="28">
        <f t="shared" si="15"/>
        <v>1164.2910000000002</v>
      </c>
      <c r="AF20" s="28">
        <f t="shared" ref="AF20:AL20" si="16">SUM(AF21:AF23)</f>
        <v>1327.2567999999999</v>
      </c>
      <c r="AG20" s="28">
        <f t="shared" si="16"/>
        <v>1838.4737999999998</v>
      </c>
      <c r="AH20" s="28">
        <f t="shared" si="16"/>
        <v>2108.0429999999997</v>
      </c>
      <c r="AI20" s="28">
        <f t="shared" si="16"/>
        <v>1977.8985600000001</v>
      </c>
      <c r="AJ20" s="28">
        <f t="shared" si="16"/>
        <v>450.48900000000003</v>
      </c>
      <c r="AK20" s="28">
        <f t="shared" si="16"/>
        <v>1512.6569999999999</v>
      </c>
      <c r="AL20" s="28">
        <f t="shared" si="16"/>
        <v>1997.664</v>
      </c>
      <c r="AM20" s="28">
        <f>SUM(AM21:AM23)</f>
        <v>1861.0379999999996</v>
      </c>
      <c r="AN20" s="28">
        <f>SUM(AN21:AN23)</f>
        <v>1409.5749999999998</v>
      </c>
      <c r="AO20" s="28">
        <f t="shared" ref="AO20:AP20" si="17">SUM(AO21:AO23)</f>
        <v>2194.5060000000003</v>
      </c>
      <c r="AP20" s="28">
        <f t="shared" si="17"/>
        <v>2370.7759999999998</v>
      </c>
      <c r="AQ20" s="28">
        <v>1420.4859999999999</v>
      </c>
      <c r="AR20" s="28">
        <f>+SUM(AR21:AR23)</f>
        <v>1550.095</v>
      </c>
      <c r="AS20" s="28">
        <v>2274.0099999999998</v>
      </c>
      <c r="AT20" s="28">
        <v>2204</v>
      </c>
      <c r="AU20" s="28">
        <f t="shared" ref="AU20" si="18">SUM(AU21:AU23)</f>
        <v>655.7940000000001</v>
      </c>
      <c r="AV20" s="28">
        <v>237.23599999999999</v>
      </c>
      <c r="AW20" s="28">
        <v>1398</v>
      </c>
      <c r="AX20" s="28">
        <v>1439.3030000000001</v>
      </c>
    </row>
    <row r="21" spans="1:59">
      <c r="A21" s="1">
        <f t="shared" si="0"/>
        <v>16</v>
      </c>
      <c r="B21" s="5" t="s">
        <v>124</v>
      </c>
      <c r="C21" s="24">
        <f t="shared" si="8"/>
        <v>1531.43</v>
      </c>
      <c r="D21" s="24">
        <f t="shared" si="9"/>
        <v>1105.9340000000002</v>
      </c>
      <c r="E21" s="47">
        <f>+D21/C21-1</f>
        <v>-0.27784227813220319</v>
      </c>
      <c r="G21" s="56">
        <f t="shared" si="1"/>
        <v>16</v>
      </c>
      <c r="H21" s="5" t="s">
        <v>124</v>
      </c>
      <c r="I21" s="24">
        <v>1357.1130000000001</v>
      </c>
      <c r="J21" s="24">
        <v>929.08699999999976</v>
      </c>
      <c r="K21" s="24">
        <v>536</v>
      </c>
      <c r="L21" s="24">
        <v>188.97200000000001</v>
      </c>
      <c r="M21" s="24">
        <v>1146.7660000000001</v>
      </c>
      <c r="N21" s="24">
        <v>1201.8629999999998</v>
      </c>
      <c r="O21" s="24">
        <v>868.34900000000005</v>
      </c>
      <c r="P21" s="24">
        <v>204.482</v>
      </c>
      <c r="Q21" s="24">
        <v>1212.1610000000001</v>
      </c>
      <c r="R21" s="24">
        <v>1027.8029999999999</v>
      </c>
      <c r="S21" s="24">
        <v>559</v>
      </c>
      <c r="T21" s="24">
        <v>795.11400000000003</v>
      </c>
      <c r="U21" s="24">
        <v>1300.9190000000001</v>
      </c>
      <c r="V21" s="24">
        <v>1248.1420000000001</v>
      </c>
      <c r="W21" s="24">
        <v>846.3</v>
      </c>
      <c r="X21" s="24">
        <v>495.12900000000002</v>
      </c>
      <c r="Y21" s="24">
        <v>1268.5309999999999</v>
      </c>
      <c r="Z21" s="24">
        <v>1341.1381999999999</v>
      </c>
      <c r="AA21" s="24">
        <v>914.07899999999995</v>
      </c>
      <c r="AB21" s="24">
        <v>335.71</v>
      </c>
      <c r="AC21" s="24">
        <v>1362.9110000000001</v>
      </c>
      <c r="AD21" s="24">
        <v>1199.1079999999999</v>
      </c>
      <c r="AE21" s="24">
        <v>965.79200000000014</v>
      </c>
      <c r="AF21" s="24">
        <v>979.50349999999992</v>
      </c>
      <c r="AG21" s="24">
        <v>1190.3717999999999</v>
      </c>
      <c r="AH21" s="24">
        <v>1425.2629999999999</v>
      </c>
      <c r="AI21" s="24">
        <v>1429.42956</v>
      </c>
      <c r="AJ21" s="24">
        <v>62.475000000000001</v>
      </c>
      <c r="AK21" s="24">
        <v>722.05399999999997</v>
      </c>
      <c r="AL21" s="24">
        <v>1206.932</v>
      </c>
      <c r="AM21" s="24">
        <v>1039.9879999999998</v>
      </c>
      <c r="AN21" s="24">
        <v>997.404</v>
      </c>
      <c r="AO21" s="24">
        <v>1526.4650000000001</v>
      </c>
      <c r="AP21" s="24">
        <v>1564.117</v>
      </c>
      <c r="AQ21" s="24">
        <v>680.93499999999995</v>
      </c>
      <c r="AR21" s="24">
        <v>1195.625</v>
      </c>
      <c r="AS21" s="24">
        <v>1640.5029999999999</v>
      </c>
      <c r="AT21" s="24">
        <v>1531.43</v>
      </c>
      <c r="AU21" s="24">
        <v>434.07300000000004</v>
      </c>
      <c r="AV21" s="24">
        <v>148.13200000000001</v>
      </c>
      <c r="AW21" s="24">
        <v>831</v>
      </c>
      <c r="AX21" s="24">
        <v>1105.9340000000002</v>
      </c>
    </row>
    <row r="22" spans="1:59">
      <c r="A22" s="1">
        <f t="shared" si="0"/>
        <v>17</v>
      </c>
      <c r="B22" s="5" t="s">
        <v>125</v>
      </c>
      <c r="C22" s="24">
        <f t="shared" si="8"/>
        <v>38.57</v>
      </c>
      <c r="D22" s="24">
        <f t="shared" si="9"/>
        <v>10.381000000000004</v>
      </c>
      <c r="E22" s="47">
        <f t="shared" ref="E22:E29" si="19">+D22/C22-1</f>
        <v>-0.7308529945553538</v>
      </c>
      <c r="G22" s="56">
        <f t="shared" si="1"/>
        <v>17</v>
      </c>
      <c r="H22" s="5" t="s">
        <v>125</v>
      </c>
      <c r="I22" s="24">
        <v>96.025000000000006</v>
      </c>
      <c r="J22" s="24">
        <v>231.07500000000002</v>
      </c>
      <c r="K22" s="24">
        <v>216</v>
      </c>
      <c r="L22" s="24">
        <v>2.7489999999999997</v>
      </c>
      <c r="M22" s="24">
        <v>141.345</v>
      </c>
      <c r="N22" s="24">
        <v>101.99799999999999</v>
      </c>
      <c r="O22" s="24">
        <v>0.33800000000000002</v>
      </c>
      <c r="P22" s="24">
        <v>0.50900000000000001</v>
      </c>
      <c r="Q22" s="24">
        <v>3.5060000000000002</v>
      </c>
      <c r="R22" s="24">
        <v>204.721</v>
      </c>
      <c r="S22" s="24">
        <v>94</v>
      </c>
      <c r="T22" s="24">
        <v>12.699</v>
      </c>
      <c r="U22" s="24">
        <v>43.264000000000003</v>
      </c>
      <c r="V22" s="24">
        <v>122.758</v>
      </c>
      <c r="W22" s="24">
        <v>32.299999999999997</v>
      </c>
      <c r="X22" s="24">
        <v>7.6610000000000005</v>
      </c>
      <c r="Y22" s="24">
        <v>14.943999999999999</v>
      </c>
      <c r="Z22" s="24">
        <v>28.54</v>
      </c>
      <c r="AA22" s="24">
        <v>21.773</v>
      </c>
      <c r="AB22" s="24">
        <v>13.209999999999999</v>
      </c>
      <c r="AC22" s="24">
        <v>51.590219684999994</v>
      </c>
      <c r="AD22" s="24">
        <v>12.888939999999998</v>
      </c>
      <c r="AE22" s="24">
        <v>5.3000000000000005E-2</v>
      </c>
      <c r="AF22" s="24">
        <v>2.0883000000000003</v>
      </c>
      <c r="AG22" s="24">
        <v>31.466000000000001</v>
      </c>
      <c r="AH22" s="24">
        <v>31.5</v>
      </c>
      <c r="AI22" s="24">
        <v>3.4470000000000001</v>
      </c>
      <c r="AJ22" s="24">
        <v>5.99</v>
      </c>
      <c r="AK22" s="24">
        <v>118.843</v>
      </c>
      <c r="AL22" s="24">
        <v>45.290000000000006</v>
      </c>
      <c r="AM22" s="24">
        <v>101.78299999999999</v>
      </c>
      <c r="AN22" s="24">
        <v>28.376999999999999</v>
      </c>
      <c r="AO22" s="24">
        <v>29.93</v>
      </c>
      <c r="AP22" s="24">
        <v>153.40800000000002</v>
      </c>
      <c r="AQ22" s="24">
        <v>22.573999999999998</v>
      </c>
      <c r="AR22" s="24">
        <v>10.247</v>
      </c>
      <c r="AS22" s="24">
        <v>22.802</v>
      </c>
      <c r="AT22" s="24">
        <v>38.57</v>
      </c>
      <c r="AU22" s="24">
        <v>0.505</v>
      </c>
      <c r="AV22" s="24">
        <v>2.0099999999999998</v>
      </c>
      <c r="AW22" s="24">
        <v>2</v>
      </c>
      <c r="AX22" s="24">
        <v>10.381000000000004</v>
      </c>
    </row>
    <row r="23" spans="1:59">
      <c r="A23" s="1">
        <f t="shared" si="0"/>
        <v>18</v>
      </c>
      <c r="B23" s="5" t="s">
        <v>126</v>
      </c>
      <c r="C23" s="24">
        <f t="shared" si="8"/>
        <v>634.25</v>
      </c>
      <c r="D23" s="24">
        <f t="shared" si="9"/>
        <v>322.98799999999977</v>
      </c>
      <c r="E23" s="47">
        <f t="shared" si="19"/>
        <v>-0.49075601103665778</v>
      </c>
      <c r="G23" s="56">
        <f t="shared" si="1"/>
        <v>18</v>
      </c>
      <c r="H23" s="5" t="s">
        <v>126</v>
      </c>
      <c r="I23" s="24">
        <v>705.99599999999998</v>
      </c>
      <c r="J23" s="24">
        <v>717.90400000000011</v>
      </c>
      <c r="K23" s="24">
        <v>672</v>
      </c>
      <c r="L23" s="24">
        <v>527.33199999999999</v>
      </c>
      <c r="M23" s="24">
        <v>791.64400000000001</v>
      </c>
      <c r="N23" s="24">
        <v>699.44800000000009</v>
      </c>
      <c r="O23" s="24">
        <v>650.74800000000005</v>
      </c>
      <c r="P23" s="24">
        <v>262.99700000000001</v>
      </c>
      <c r="Q23" s="24">
        <v>699.51299999999992</v>
      </c>
      <c r="R23" s="24">
        <v>723.97800000000007</v>
      </c>
      <c r="S23" s="24">
        <v>743</v>
      </c>
      <c r="T23" s="24">
        <v>338.56899999999996</v>
      </c>
      <c r="U23" s="24">
        <v>735.95499999999993</v>
      </c>
      <c r="V23" s="24">
        <v>738.17399999999998</v>
      </c>
      <c r="W23" s="24">
        <v>746.9</v>
      </c>
      <c r="X23" s="24">
        <v>384.94999999999993</v>
      </c>
      <c r="Y23" s="24">
        <v>736.45100000000002</v>
      </c>
      <c r="Z23" s="24">
        <v>682.37900000000002</v>
      </c>
      <c r="AA23" s="24">
        <v>705.14099999999996</v>
      </c>
      <c r="AB23" s="24">
        <v>495.72</v>
      </c>
      <c r="AC23" s="24">
        <v>699.16600000000005</v>
      </c>
      <c r="AD23" s="24">
        <v>690.70500000000004</v>
      </c>
      <c r="AE23" s="24">
        <v>198.446</v>
      </c>
      <c r="AF23" s="24">
        <v>345.66499999999996</v>
      </c>
      <c r="AG23" s="24">
        <v>616.63599999999997</v>
      </c>
      <c r="AH23" s="24">
        <v>651.28</v>
      </c>
      <c r="AI23" s="24">
        <v>545.02200000000005</v>
      </c>
      <c r="AJ23" s="24">
        <v>382.024</v>
      </c>
      <c r="AK23" s="24">
        <v>671.76</v>
      </c>
      <c r="AL23" s="24">
        <v>745.44200000000001</v>
      </c>
      <c r="AM23" s="24">
        <v>719.26699999999994</v>
      </c>
      <c r="AN23" s="24">
        <v>383.79399999999998</v>
      </c>
      <c r="AO23" s="24">
        <v>638.1110000000001</v>
      </c>
      <c r="AP23" s="24">
        <v>653.25099999999998</v>
      </c>
      <c r="AQ23" s="24">
        <v>716.97700000000009</v>
      </c>
      <c r="AR23" s="24">
        <v>344.22300000000001</v>
      </c>
      <c r="AS23" s="24">
        <v>610.70500000000004</v>
      </c>
      <c r="AT23" s="24">
        <v>634.25</v>
      </c>
      <c r="AU23" s="24">
        <v>221.21600000000001</v>
      </c>
      <c r="AV23" s="24">
        <v>87.093999999999994</v>
      </c>
      <c r="AW23" s="24">
        <v>565</v>
      </c>
      <c r="AX23" s="24">
        <v>322.98799999999977</v>
      </c>
    </row>
    <row r="24" spans="1:59">
      <c r="A24" s="1">
        <f t="shared" si="0"/>
        <v>19</v>
      </c>
      <c r="B24" s="27" t="s">
        <v>127</v>
      </c>
      <c r="C24" s="28">
        <f t="shared" si="8"/>
        <v>170.11999999999998</v>
      </c>
      <c r="D24" s="28">
        <f t="shared" si="9"/>
        <v>176.07728131263545</v>
      </c>
      <c r="E24" s="96">
        <f t="shared" si="19"/>
        <v>3.5018112583091288E-2</v>
      </c>
      <c r="G24" s="56">
        <f t="shared" si="1"/>
        <v>19</v>
      </c>
      <c r="H24" s="27" t="s">
        <v>127</v>
      </c>
      <c r="I24" s="30">
        <f>SUM(I25:I26)</f>
        <v>0</v>
      </c>
      <c r="J24" s="30">
        <f t="shared" ref="J24:Y24" si="20">SUM(J25:J26)</f>
        <v>0</v>
      </c>
      <c r="K24" s="30">
        <f t="shared" si="20"/>
        <v>0</v>
      </c>
      <c r="L24" s="28">
        <f t="shared" si="20"/>
        <v>27</v>
      </c>
      <c r="M24" s="28">
        <f t="shared" si="20"/>
        <v>17.866000000000003</v>
      </c>
      <c r="N24" s="28">
        <f t="shared" si="20"/>
        <v>27.525100000000002</v>
      </c>
      <c r="O24" s="28">
        <f t="shared" si="20"/>
        <v>27.0913</v>
      </c>
      <c r="P24" s="28">
        <f t="shared" si="20"/>
        <v>38.855344280000011</v>
      </c>
      <c r="Q24" s="28">
        <f t="shared" si="20"/>
        <v>18.837700000000002</v>
      </c>
      <c r="R24" s="28">
        <f t="shared" si="20"/>
        <v>18.474769999999999</v>
      </c>
      <c r="S24" s="28">
        <f t="shared" si="20"/>
        <v>28</v>
      </c>
      <c r="T24" s="28">
        <f t="shared" si="20"/>
        <v>29.851632112000004</v>
      </c>
      <c r="U24" s="28">
        <f t="shared" si="20"/>
        <v>21.848003753000004</v>
      </c>
      <c r="V24" s="28">
        <f t="shared" si="20"/>
        <v>29.300611658000001</v>
      </c>
      <c r="W24" s="28">
        <f t="shared" si="20"/>
        <v>29.4</v>
      </c>
      <c r="X24" s="28">
        <f t="shared" si="20"/>
        <v>35.836244550000004</v>
      </c>
      <c r="Y24" s="28">
        <f t="shared" si="20"/>
        <v>26.215077972368299</v>
      </c>
      <c r="Z24" s="28">
        <f t="shared" ref="Z24" si="21">SUM(Z25:Z26)</f>
        <v>29.41226087674421</v>
      </c>
      <c r="AA24" s="28">
        <f t="shared" ref="AA24:AJ24" si="22">SUM(AA25:AA26)</f>
        <v>36.519630291729221</v>
      </c>
      <c r="AB24" s="28">
        <f t="shared" si="22"/>
        <v>43.706121845772216</v>
      </c>
      <c r="AC24" s="28">
        <f t="shared" si="22"/>
        <v>26.576624748011</v>
      </c>
      <c r="AD24" s="28">
        <f t="shared" si="22"/>
        <v>60.150467104336997</v>
      </c>
      <c r="AE24" s="28">
        <f t="shared" si="22"/>
        <v>108.44471372218833</v>
      </c>
      <c r="AF24" s="28">
        <f t="shared" si="22"/>
        <v>105.50269951004388</v>
      </c>
      <c r="AG24" s="28">
        <f t="shared" si="22"/>
        <v>26.318386791767686</v>
      </c>
      <c r="AH24" s="28">
        <f t="shared" si="22"/>
        <v>24.394579026104999</v>
      </c>
      <c r="AI24" s="28">
        <f t="shared" si="22"/>
        <v>38.531512138870092</v>
      </c>
      <c r="AJ24" s="28">
        <f t="shared" si="22"/>
        <v>42.633872261769937</v>
      </c>
      <c r="AK24" s="28">
        <f>SUM(AK25:AK26)</f>
        <v>27.695489046976014</v>
      </c>
      <c r="AL24" s="28">
        <f>SUM(AL25:AL26)</f>
        <v>25.529994363639318</v>
      </c>
      <c r="AM24" s="28">
        <f>SUM(AM25:AM26)</f>
        <v>88.357757452910192</v>
      </c>
      <c r="AN24" s="28">
        <f>+SUM(AN25:AN26)</f>
        <v>166.46686625035599</v>
      </c>
      <c r="AO24" s="28">
        <f>SUM(AO25:AO26)</f>
        <v>251.48959344709863</v>
      </c>
      <c r="AP24" s="28">
        <f>SUM(AP25:AP26)</f>
        <v>250.44139453022714</v>
      </c>
      <c r="AQ24" s="28">
        <v>170.82899486924816</v>
      </c>
      <c r="AR24" s="28">
        <f>+SUM(AR25:AR26)</f>
        <v>198.53534553044113</v>
      </c>
      <c r="AS24" s="28">
        <f t="shared" ref="AS24:AU24" si="23">+SUM(AS25:AS26)</f>
        <v>215.69430917953127</v>
      </c>
      <c r="AT24" s="28">
        <f t="shared" si="23"/>
        <v>170.11999999999998</v>
      </c>
      <c r="AU24" s="28">
        <f t="shared" si="23"/>
        <v>153.47972409705409</v>
      </c>
      <c r="AV24" s="28">
        <v>193.01942152888</v>
      </c>
      <c r="AW24" s="28">
        <v>202</v>
      </c>
      <c r="AX24" s="28">
        <v>176.07728131263545</v>
      </c>
    </row>
    <row r="25" spans="1:59">
      <c r="A25" s="1">
        <f t="shared" si="0"/>
        <v>20</v>
      </c>
      <c r="B25" s="5" t="s">
        <v>128</v>
      </c>
      <c r="C25" s="29">
        <f t="shared" si="8"/>
        <v>22.2</v>
      </c>
      <c r="D25" s="29">
        <f t="shared" si="9"/>
        <v>41.062920000000027</v>
      </c>
      <c r="E25" s="47">
        <f t="shared" si="19"/>
        <v>0.84968108108108242</v>
      </c>
      <c r="G25" s="56">
        <f t="shared" si="1"/>
        <v>20</v>
      </c>
      <c r="H25" s="5" t="s">
        <v>128</v>
      </c>
      <c r="I25" s="29">
        <v>0</v>
      </c>
      <c r="J25" s="29">
        <v>0</v>
      </c>
      <c r="K25" s="29">
        <v>0</v>
      </c>
      <c r="L25" s="24">
        <v>27</v>
      </c>
      <c r="M25" s="24">
        <v>17.866000000000003</v>
      </c>
      <c r="N25" s="24">
        <v>27.525100000000002</v>
      </c>
      <c r="O25" s="24">
        <v>27.0913</v>
      </c>
      <c r="P25" s="24">
        <v>38.855344280000011</v>
      </c>
      <c r="Q25" s="24">
        <v>18.837700000000002</v>
      </c>
      <c r="R25" s="24">
        <v>18.474769999999999</v>
      </c>
      <c r="S25" s="24">
        <v>28</v>
      </c>
      <c r="T25" s="24">
        <v>29.851632112000004</v>
      </c>
      <c r="U25" s="24">
        <v>21.848003753000004</v>
      </c>
      <c r="V25" s="24">
        <v>29.300611658000001</v>
      </c>
      <c r="W25" s="24">
        <v>29.4</v>
      </c>
      <c r="X25" s="24">
        <v>35.836244550000004</v>
      </c>
      <c r="Y25" s="24">
        <v>25.603801381104297</v>
      </c>
      <c r="Z25" s="24">
        <v>26.332554626443208</v>
      </c>
      <c r="AA25" s="24">
        <v>33.033485733932224</v>
      </c>
      <c r="AB25" s="24">
        <v>36.79612184577222</v>
      </c>
      <c r="AC25" s="24">
        <v>20.165046798408</v>
      </c>
      <c r="AD25" s="24">
        <v>57.085455013663996</v>
      </c>
      <c r="AE25" s="24">
        <v>104.68628249675183</v>
      </c>
      <c r="AF25" s="24">
        <v>98.468849971651082</v>
      </c>
      <c r="AG25" s="29">
        <v>19.689539782499988</v>
      </c>
      <c r="AH25" s="24">
        <v>21.309542624999999</v>
      </c>
      <c r="AI25" s="24">
        <v>34.433420699999992</v>
      </c>
      <c r="AJ25" s="24">
        <v>35.235859575000035</v>
      </c>
      <c r="AK25" s="29">
        <v>21.419570000000014</v>
      </c>
      <c r="AL25" s="29">
        <v>22.435517000000015</v>
      </c>
      <c r="AM25" s="29">
        <v>84.723199999999991</v>
      </c>
      <c r="AN25" s="29">
        <v>41.485839999999996</v>
      </c>
      <c r="AO25" s="29">
        <v>33.298859999999976</v>
      </c>
      <c r="AP25" s="29">
        <v>24.154230000000002</v>
      </c>
      <c r="AQ25" s="29">
        <v>26.608487000000018</v>
      </c>
      <c r="AR25" s="29">
        <v>24.793479999999988</v>
      </c>
      <c r="AS25" s="29">
        <v>19.005010000000013</v>
      </c>
      <c r="AT25" s="29">
        <v>22.2</v>
      </c>
      <c r="AU25" s="29">
        <v>27.699690000000004</v>
      </c>
      <c r="AV25" s="29">
        <v>31.993730000000042</v>
      </c>
      <c r="AW25" s="29">
        <v>21</v>
      </c>
      <c r="AX25" s="29">
        <v>41.062920000000027</v>
      </c>
    </row>
    <row r="26" spans="1:59">
      <c r="A26" s="1">
        <f t="shared" si="0"/>
        <v>21</v>
      </c>
      <c r="B26" s="5" t="s">
        <v>129</v>
      </c>
      <c r="C26" s="29">
        <f t="shared" si="8"/>
        <v>147.91999999999999</v>
      </c>
      <c r="D26" s="29">
        <f t="shared" si="9"/>
        <v>135.01436131263543</v>
      </c>
      <c r="E26" s="47">
        <f t="shared" si="19"/>
        <v>-8.7247422169852373E-2</v>
      </c>
      <c r="G26" s="56">
        <f t="shared" si="1"/>
        <v>21</v>
      </c>
      <c r="H26" s="5" t="s">
        <v>129</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0.61127659126400002</v>
      </c>
      <c r="Z26" s="29">
        <v>3.0797062503010002</v>
      </c>
      <c r="AA26" s="29">
        <v>3.4861445577970001</v>
      </c>
      <c r="AB26" s="29">
        <v>6.91</v>
      </c>
      <c r="AC26" s="29">
        <v>6.4115779496030001</v>
      </c>
      <c r="AD26" s="29">
        <v>3.0650120906730001</v>
      </c>
      <c r="AE26" s="29">
        <v>3.7584312254364995</v>
      </c>
      <c r="AF26" s="24">
        <v>7.0338495383928006</v>
      </c>
      <c r="AG26" s="29">
        <v>6.6288470092676999</v>
      </c>
      <c r="AH26" s="29">
        <v>3.085036401105</v>
      </c>
      <c r="AI26" s="29">
        <v>4.0980914388700995</v>
      </c>
      <c r="AJ26" s="29">
        <v>7.398012686769901</v>
      </c>
      <c r="AK26" s="29">
        <v>6.2759190469760009</v>
      </c>
      <c r="AL26" s="29">
        <v>3.0944773636393013</v>
      </c>
      <c r="AM26" s="29">
        <v>3.6345574529101992</v>
      </c>
      <c r="AN26" s="29">
        <v>124.981026250356</v>
      </c>
      <c r="AO26" s="29">
        <v>218.19073344709864</v>
      </c>
      <c r="AP26" s="29">
        <v>226.28716453022713</v>
      </c>
      <c r="AQ26" s="29">
        <v>144.22050786924814</v>
      </c>
      <c r="AR26" s="29">
        <v>173.74186553044115</v>
      </c>
      <c r="AS26" s="29">
        <v>196.68929917953128</v>
      </c>
      <c r="AT26" s="29">
        <v>147.91999999999999</v>
      </c>
      <c r="AU26" s="29">
        <v>125.78003409705408</v>
      </c>
      <c r="AV26" s="29">
        <v>161.02569152887995</v>
      </c>
      <c r="AW26" s="29">
        <v>181</v>
      </c>
      <c r="AX26" s="29">
        <v>135.01436131263543</v>
      </c>
    </row>
    <row r="27" spans="1:59">
      <c r="A27" s="1">
        <f t="shared" si="0"/>
        <v>22</v>
      </c>
      <c r="B27" s="27" t="s">
        <v>130</v>
      </c>
      <c r="C27" s="30">
        <f t="shared" si="8"/>
        <v>0</v>
      </c>
      <c r="D27" s="30">
        <f t="shared" si="9"/>
        <v>0</v>
      </c>
      <c r="E27" s="47" t="s">
        <v>131</v>
      </c>
      <c r="G27" s="56">
        <f t="shared" si="1"/>
        <v>22</v>
      </c>
      <c r="H27" s="27" t="s">
        <v>130</v>
      </c>
      <c r="I27" s="29">
        <v>0</v>
      </c>
      <c r="J27" s="29">
        <v>0</v>
      </c>
      <c r="K27" s="28">
        <v>23.8</v>
      </c>
      <c r="L27" s="28">
        <v>119.8</v>
      </c>
      <c r="M27" s="29">
        <v>0</v>
      </c>
      <c r="N27" s="29">
        <v>0</v>
      </c>
      <c r="O27" s="29">
        <v>0</v>
      </c>
      <c r="P27" s="28">
        <v>124</v>
      </c>
      <c r="Q27" s="29">
        <v>0</v>
      </c>
      <c r="R27" s="29">
        <v>0</v>
      </c>
      <c r="S27" s="28">
        <v>433</v>
      </c>
      <c r="T27" s="28">
        <v>490</v>
      </c>
      <c r="U27" s="29">
        <v>0</v>
      </c>
      <c r="V27" s="29">
        <v>0</v>
      </c>
      <c r="W27" s="28">
        <v>52.114804692825103</v>
      </c>
      <c r="X27" s="30">
        <v>0</v>
      </c>
      <c r="Y27" s="30">
        <v>0</v>
      </c>
      <c r="Z27" s="30">
        <v>0</v>
      </c>
      <c r="AA27" s="30">
        <v>65.028804890240636</v>
      </c>
      <c r="AB27" s="30">
        <v>29.296061395493101</v>
      </c>
      <c r="AC27" s="30">
        <v>0</v>
      </c>
      <c r="AD27" s="30">
        <v>0</v>
      </c>
      <c r="AE27" s="30">
        <v>369</v>
      </c>
      <c r="AF27" s="30">
        <v>102.91959303165353</v>
      </c>
      <c r="AG27" s="30">
        <v>0</v>
      </c>
      <c r="AH27" s="30">
        <v>0</v>
      </c>
      <c r="AI27" s="30">
        <v>0</v>
      </c>
      <c r="AJ27" s="30">
        <v>269.7378305259823</v>
      </c>
      <c r="AK27" s="30">
        <v>180.38096507499472</v>
      </c>
      <c r="AL27" s="30">
        <v>0</v>
      </c>
      <c r="AM27" s="30">
        <v>0</v>
      </c>
      <c r="AN27" s="30">
        <v>105.3</v>
      </c>
      <c r="AO27" s="30">
        <v>0</v>
      </c>
      <c r="AP27" s="30">
        <v>0</v>
      </c>
      <c r="AQ27" s="30">
        <v>35.746797153592098</v>
      </c>
      <c r="AR27" s="30">
        <v>0</v>
      </c>
      <c r="AS27" s="30">
        <v>0</v>
      </c>
      <c r="AT27" s="30">
        <v>0</v>
      </c>
      <c r="AU27" s="30">
        <v>16</v>
      </c>
      <c r="AV27" s="30">
        <v>175.73004669365855</v>
      </c>
      <c r="AW27" s="30">
        <v>0</v>
      </c>
      <c r="AX27" s="30">
        <v>0</v>
      </c>
    </row>
    <row r="28" spans="1:59" ht="5.25" customHeight="1">
      <c r="A28" s="1">
        <f t="shared" si="0"/>
        <v>23</v>
      </c>
      <c r="C28" s="80"/>
      <c r="D28" s="80"/>
      <c r="E28" s="97"/>
      <c r="G28" s="56">
        <f t="shared" si="1"/>
        <v>23</v>
      </c>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row>
    <row r="29" spans="1:59">
      <c r="A29" s="1">
        <f t="shared" si="0"/>
        <v>24</v>
      </c>
      <c r="B29" s="19" t="s">
        <v>132</v>
      </c>
      <c r="C29" s="26">
        <f t="shared" si="8"/>
        <v>460.25699149522723</v>
      </c>
      <c r="D29" s="26">
        <f t="shared" si="9"/>
        <v>664.89594947821729</v>
      </c>
      <c r="E29" s="53">
        <f t="shared" si="19"/>
        <v>0.44461890153625649</v>
      </c>
      <c r="G29" s="56">
        <f t="shared" si="1"/>
        <v>24</v>
      </c>
      <c r="H29" s="19" t="s">
        <v>132</v>
      </c>
      <c r="I29" s="26">
        <f>I13-I27</f>
        <v>218.96751644732302</v>
      </c>
      <c r="J29" s="26">
        <f t="shared" ref="J29:W29" si="24">J13-J27</f>
        <v>424.53248355267698</v>
      </c>
      <c r="K29" s="26">
        <f t="shared" si="24"/>
        <v>123.2</v>
      </c>
      <c r="L29" s="26">
        <f t="shared" si="24"/>
        <v>-119.8</v>
      </c>
      <c r="M29" s="26">
        <f t="shared" si="24"/>
        <v>327</v>
      </c>
      <c r="N29" s="26">
        <f t="shared" si="24"/>
        <v>484</v>
      </c>
      <c r="O29" s="26">
        <f t="shared" si="24"/>
        <v>455.71628899999996</v>
      </c>
      <c r="P29" s="26">
        <f t="shared" si="24"/>
        <v>53.761164545645784</v>
      </c>
      <c r="Q29" s="26">
        <f t="shared" si="24"/>
        <v>402.79276660438609</v>
      </c>
      <c r="R29" s="26">
        <f t="shared" si="24"/>
        <v>512.70931975909969</v>
      </c>
      <c r="S29" s="26">
        <f t="shared" si="24"/>
        <v>-433</v>
      </c>
      <c r="T29" s="26">
        <f t="shared" si="24"/>
        <v>-490</v>
      </c>
      <c r="U29" s="26">
        <f>U13-U27</f>
        <v>355.57419945754248</v>
      </c>
      <c r="V29" s="26">
        <f t="shared" si="24"/>
        <v>476.44857716393153</v>
      </c>
      <c r="W29" s="26">
        <f t="shared" si="24"/>
        <v>163.68519530717492</v>
      </c>
      <c r="X29" s="26">
        <f t="shared" ref="X29:Y29" si="25">X13-X27</f>
        <v>345.10789999999997</v>
      </c>
      <c r="Y29" s="26">
        <f t="shared" si="25"/>
        <v>524.51625259600632</v>
      </c>
      <c r="Z29" s="26">
        <f>Z13-Z27</f>
        <v>517.42100000000005</v>
      </c>
      <c r="AA29" s="26">
        <f>AA13-AA27</f>
        <v>49.138423481814684</v>
      </c>
      <c r="AB29" s="26">
        <f t="shared" ref="AB29:AE29" si="26">AB13-AB27</f>
        <v>127.18293860450689</v>
      </c>
      <c r="AC29" s="26">
        <f t="shared" si="26"/>
        <v>679.59258450063749</v>
      </c>
      <c r="AD29" s="26">
        <f t="shared" si="26"/>
        <v>565.63741879474242</v>
      </c>
      <c r="AE29" s="26">
        <f t="shared" si="26"/>
        <v>-338</v>
      </c>
      <c r="AF29" s="26">
        <f t="shared" ref="AF29:AL29" si="27">AF13-AF27</f>
        <v>-102.91959303165353</v>
      </c>
      <c r="AG29" s="26">
        <f t="shared" si="27"/>
        <v>399.97817196043991</v>
      </c>
      <c r="AH29" s="26">
        <f t="shared" si="27"/>
        <v>500.52412506537814</v>
      </c>
      <c r="AI29" s="26">
        <f t="shared" si="27"/>
        <v>789.41849508749317</v>
      </c>
      <c r="AJ29" s="26">
        <f t="shared" si="27"/>
        <v>-234.52825661752502</v>
      </c>
      <c r="AK29" s="26">
        <f t="shared" si="27"/>
        <v>-93.084104091865811</v>
      </c>
      <c r="AL29" s="26">
        <f t="shared" si="27"/>
        <v>621.59086649847029</v>
      </c>
      <c r="AM29" s="26">
        <f>AM13-AM27</f>
        <v>253.63679747067806</v>
      </c>
      <c r="AN29" s="26">
        <f>AN13-AN27</f>
        <v>74.494145812848004</v>
      </c>
      <c r="AO29" s="26">
        <f>AO13-AO27</f>
        <v>240</v>
      </c>
      <c r="AP29" s="26">
        <f t="shared" ref="AP29:AW29" si="28">AP13-AP27</f>
        <v>535</v>
      </c>
      <c r="AQ29" s="26">
        <f t="shared" si="28"/>
        <v>194.77162800738492</v>
      </c>
      <c r="AR29" s="26">
        <f t="shared" si="28"/>
        <v>448.44301984515789</v>
      </c>
      <c r="AS29" s="26">
        <f t="shared" si="28"/>
        <v>304.45764578247338</v>
      </c>
      <c r="AT29" s="26">
        <f t="shared" si="28"/>
        <v>460.25699149522723</v>
      </c>
      <c r="AU29" s="26">
        <f t="shared" si="28"/>
        <v>233.75240306943329</v>
      </c>
      <c r="AV29" s="26">
        <f t="shared" si="28"/>
        <v>-140.57130138670857</v>
      </c>
      <c r="AW29" s="26">
        <f t="shared" si="28"/>
        <v>553</v>
      </c>
      <c r="AX29" s="26">
        <v>664.89594947821729</v>
      </c>
    </row>
    <row r="30" spans="1:59">
      <c r="E30" s="55"/>
    </row>
    <row r="34" spans="1:50" ht="23.5">
      <c r="B34" s="11" t="s">
        <v>37</v>
      </c>
      <c r="C34" s="12"/>
      <c r="D34" s="12"/>
      <c r="E34" s="12"/>
      <c r="H34" s="11" t="s">
        <v>37</v>
      </c>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row>
    <row r="36" spans="1:50">
      <c r="A36" s="1">
        <v>1</v>
      </c>
      <c r="B36" s="3" t="s">
        <v>72</v>
      </c>
      <c r="C36" s="138" t="str">
        <f>C6</f>
        <v>2Q23</v>
      </c>
      <c r="D36" s="138" t="str">
        <f>D6</f>
        <v>2Q24</v>
      </c>
      <c r="E36" s="138" t="s">
        <v>75</v>
      </c>
      <c r="G36" s="56">
        <v>1</v>
      </c>
      <c r="H36" s="3" t="s">
        <v>72</v>
      </c>
      <c r="I36" s="138" t="s">
        <v>76</v>
      </c>
      <c r="J36" s="138" t="s">
        <v>77</v>
      </c>
      <c r="K36" s="138" t="s">
        <v>78</v>
      </c>
      <c r="L36" s="138" t="s">
        <v>79</v>
      </c>
      <c r="M36" s="138" t="s">
        <v>80</v>
      </c>
      <c r="N36" s="138" t="s">
        <v>81</v>
      </c>
      <c r="O36" s="138" t="s">
        <v>82</v>
      </c>
      <c r="P36" s="138" t="s">
        <v>83</v>
      </c>
      <c r="Q36" s="138" t="s">
        <v>84</v>
      </c>
      <c r="R36" s="138" t="s">
        <v>85</v>
      </c>
      <c r="S36" s="138" t="s">
        <v>86</v>
      </c>
      <c r="T36" s="138" t="s">
        <v>87</v>
      </c>
      <c r="U36" s="138" t="s">
        <v>88</v>
      </c>
      <c r="V36" s="138" t="s">
        <v>89</v>
      </c>
      <c r="W36" s="138" t="s">
        <v>90</v>
      </c>
      <c r="X36" s="138" t="s">
        <v>91</v>
      </c>
      <c r="Y36" s="138" t="s">
        <v>92</v>
      </c>
      <c r="Z36" s="138" t="s">
        <v>93</v>
      </c>
      <c r="AA36" s="138" t="s">
        <v>94</v>
      </c>
      <c r="AB36" s="138" t="s">
        <v>95</v>
      </c>
      <c r="AC36" s="138" t="s">
        <v>96</v>
      </c>
      <c r="AD36" s="138" t="s">
        <v>97</v>
      </c>
      <c r="AE36" s="138" t="s">
        <v>98</v>
      </c>
      <c r="AF36" s="138" t="s">
        <v>99</v>
      </c>
      <c r="AG36" s="138" t="s">
        <v>100</v>
      </c>
      <c r="AH36" s="138" t="s">
        <v>101</v>
      </c>
      <c r="AI36" s="138" t="s">
        <v>102</v>
      </c>
      <c r="AJ36" s="138" t="s">
        <v>103</v>
      </c>
      <c r="AK36" s="138" t="s">
        <v>104</v>
      </c>
      <c r="AL36" s="138" t="s">
        <v>105</v>
      </c>
      <c r="AM36" s="138" t="s">
        <v>106</v>
      </c>
      <c r="AN36" s="138" t="s">
        <v>107</v>
      </c>
      <c r="AO36" s="138" t="s">
        <v>108</v>
      </c>
      <c r="AP36" s="138" t="s">
        <v>109</v>
      </c>
      <c r="AQ36" s="138" t="s">
        <v>110</v>
      </c>
      <c r="AR36" s="138" t="s">
        <v>111</v>
      </c>
      <c r="AS36" s="138" t="s">
        <v>73</v>
      </c>
      <c r="AT36" s="138" t="s">
        <v>112</v>
      </c>
      <c r="AU36" s="138" t="s">
        <v>113</v>
      </c>
      <c r="AV36" s="138" t="s">
        <v>114</v>
      </c>
      <c r="AW36" s="138" t="s">
        <v>74</v>
      </c>
      <c r="AX36" s="138" t="s">
        <v>221</v>
      </c>
    </row>
    <row r="37" spans="1:50">
      <c r="A37" s="1">
        <v>2</v>
      </c>
      <c r="B37" s="3" t="s">
        <v>115</v>
      </c>
      <c r="C37" s="138"/>
      <c r="D37" s="138"/>
      <c r="E37" s="138"/>
      <c r="G37" s="56">
        <f>G36+1</f>
        <v>2</v>
      </c>
      <c r="H37" s="3" t="s">
        <v>115</v>
      </c>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row>
    <row r="38" spans="1:50">
      <c r="A38" s="1">
        <v>3</v>
      </c>
      <c r="G38" s="56">
        <f t="shared" ref="G38:G51" si="29">G37+1</f>
        <v>3</v>
      </c>
    </row>
    <row r="39" spans="1:50">
      <c r="A39" s="1">
        <v>4</v>
      </c>
      <c r="B39" s="6" t="s">
        <v>116</v>
      </c>
      <c r="C39" s="23">
        <f>SUM(C41:C42)</f>
        <v>888.66200499877345</v>
      </c>
      <c r="D39" s="23">
        <f>SUM(D41:D42)</f>
        <v>849.70570569384483</v>
      </c>
      <c r="E39" s="66">
        <f>D39/C39-1</f>
        <v>-4.3837025872375812E-2</v>
      </c>
      <c r="G39" s="56">
        <f t="shared" si="29"/>
        <v>4</v>
      </c>
      <c r="H39" s="6" t="s">
        <v>116</v>
      </c>
      <c r="I39" s="31"/>
      <c r="J39" s="31"/>
      <c r="K39" s="31"/>
      <c r="L39" s="31"/>
      <c r="M39" s="31"/>
      <c r="N39" s="31"/>
      <c r="O39" s="31"/>
      <c r="P39" s="31"/>
      <c r="Q39" s="23">
        <f>Q41+Q42</f>
        <v>896.15477393720892</v>
      </c>
      <c r="R39" s="23">
        <f t="shared" ref="R39:W39" si="30">R41+R42</f>
        <v>966.33258163299797</v>
      </c>
      <c r="S39" s="23">
        <f t="shared" si="30"/>
        <v>931.47193074071765</v>
      </c>
      <c r="T39" s="23">
        <f t="shared" si="30"/>
        <v>1184.7649773808278</v>
      </c>
      <c r="U39" s="23">
        <f t="shared" si="30"/>
        <v>788.82634795288288</v>
      </c>
      <c r="V39" s="23">
        <f t="shared" si="30"/>
        <v>1049</v>
      </c>
      <c r="W39" s="23">
        <f t="shared" si="30"/>
        <v>1163.3114928183011</v>
      </c>
      <c r="X39" s="23">
        <f t="shared" ref="X39:Y39" si="31">X41+X42</f>
        <v>1110.2813305312957</v>
      </c>
      <c r="Y39" s="23">
        <f t="shared" si="31"/>
        <v>809.94496876190215</v>
      </c>
      <c r="Z39" s="23">
        <f t="shared" ref="Z39:AE39" si="32">Z41+Z42</f>
        <v>978.76345776423216</v>
      </c>
      <c r="AA39" s="23">
        <f t="shared" si="32"/>
        <v>1096.5211357750077</v>
      </c>
      <c r="AB39" s="23">
        <f t="shared" si="32"/>
        <v>1159.7479302785923</v>
      </c>
      <c r="AC39" s="23">
        <f t="shared" si="32"/>
        <v>941.93401631200777</v>
      </c>
      <c r="AD39" s="23">
        <f t="shared" si="32"/>
        <v>983.01939262984422</v>
      </c>
      <c r="AE39" s="23">
        <f t="shared" si="32"/>
        <v>1160.60459709322</v>
      </c>
      <c r="AF39" s="23">
        <f t="shared" ref="AF39:AO39" si="33">AF41+AF42</f>
        <v>825.0815780808764</v>
      </c>
      <c r="AG39" s="23">
        <f t="shared" si="33"/>
        <v>515.44411977188861</v>
      </c>
      <c r="AH39" s="23">
        <f t="shared" si="33"/>
        <v>626.65296885991324</v>
      </c>
      <c r="AI39" s="23">
        <f t="shared" si="33"/>
        <v>1018.899188234898</v>
      </c>
      <c r="AJ39" s="23">
        <f t="shared" si="33"/>
        <v>965.98011462914837</v>
      </c>
      <c r="AK39" s="23">
        <f t="shared" si="33"/>
        <v>560.96413158793575</v>
      </c>
      <c r="AL39" s="23">
        <f t="shared" si="33"/>
        <v>877.86212596818189</v>
      </c>
      <c r="AM39" s="23">
        <f t="shared" si="33"/>
        <v>1183.6065573044966</v>
      </c>
      <c r="AN39" s="23">
        <f t="shared" si="33"/>
        <v>906.64523534285752</v>
      </c>
      <c r="AO39" s="23">
        <f t="shared" si="33"/>
        <v>1001.9415212568607</v>
      </c>
      <c r="AP39" s="23">
        <v>952.37681311411916</v>
      </c>
      <c r="AQ39" s="23">
        <v>1150</v>
      </c>
      <c r="AR39" s="23">
        <f>+AR41+AR42</f>
        <v>1174.6311800154549</v>
      </c>
      <c r="AS39" s="23">
        <v>950.48982971991609</v>
      </c>
      <c r="AT39" s="23">
        <v>888.66200499877345</v>
      </c>
      <c r="AU39" s="23">
        <v>1168.5378808233431</v>
      </c>
      <c r="AV39" s="23">
        <v>987</v>
      </c>
      <c r="AW39" s="23">
        <v>817</v>
      </c>
      <c r="AX39" s="23">
        <f>+AX41+AX42</f>
        <v>849.70570569384483</v>
      </c>
    </row>
    <row r="40" spans="1:50" ht="6" customHeight="1">
      <c r="A40" s="1">
        <v>5</v>
      </c>
      <c r="E40" s="52"/>
      <c r="G40" s="56">
        <f t="shared" si="29"/>
        <v>5</v>
      </c>
      <c r="I40" s="32"/>
      <c r="J40" s="32"/>
      <c r="K40" s="32"/>
      <c r="L40" s="32"/>
      <c r="M40" s="32"/>
      <c r="N40" s="32"/>
      <c r="O40" s="32"/>
      <c r="P40" s="32"/>
    </row>
    <row r="41" spans="1:50">
      <c r="A41" s="1">
        <v>6</v>
      </c>
      <c r="B41" s="5" t="s">
        <v>133</v>
      </c>
      <c r="C41" s="24">
        <f>HLOOKUP($C$6,$H$36:$BG$51,$G41,FALSE)</f>
        <v>850.02894917809385</v>
      </c>
      <c r="D41" s="24">
        <f>HLOOKUP($D$6,$H$36:$BG$51,$G41,FALSE)</f>
        <v>629.28588639168436</v>
      </c>
      <c r="E41" s="47">
        <f>+D41/C41-1</f>
        <v>-0.25968887647867689</v>
      </c>
      <c r="F41" s="52"/>
      <c r="G41" s="56">
        <f t="shared" si="29"/>
        <v>6</v>
      </c>
      <c r="H41" s="5" t="s">
        <v>133</v>
      </c>
      <c r="I41" s="33"/>
      <c r="J41" s="33"/>
      <c r="K41" s="33"/>
      <c r="L41" s="33"/>
      <c r="M41" s="33"/>
      <c r="N41" s="33"/>
      <c r="O41" s="33"/>
      <c r="P41" s="33"/>
      <c r="Q41" s="24">
        <v>896.15477393720892</v>
      </c>
      <c r="R41" s="24">
        <v>895</v>
      </c>
      <c r="S41" s="24">
        <v>660.8546595771212</v>
      </c>
      <c r="T41" s="24">
        <v>701.74175820562186</v>
      </c>
      <c r="U41" s="24">
        <v>670.14557932067135</v>
      </c>
      <c r="V41" s="24">
        <v>713</v>
      </c>
      <c r="W41" s="24">
        <v>808.7313863700075</v>
      </c>
      <c r="X41" s="24">
        <v>820.11765848199025</v>
      </c>
      <c r="Y41" s="24">
        <v>754.11900053134241</v>
      </c>
      <c r="Z41" s="24">
        <v>805.13023617018166</v>
      </c>
      <c r="AA41" s="24">
        <v>725.43641713442707</v>
      </c>
      <c r="AB41" s="24">
        <v>716.78307257861093</v>
      </c>
      <c r="AC41" s="24">
        <v>752.74025687093615</v>
      </c>
      <c r="AD41" s="24">
        <v>706.19687364754577</v>
      </c>
      <c r="AE41" s="24">
        <v>730.50346933265155</v>
      </c>
      <c r="AF41" s="24">
        <v>732.89679752741722</v>
      </c>
      <c r="AG41" s="24">
        <v>515.44411977188861</v>
      </c>
      <c r="AH41" s="24">
        <v>412.61388027848921</v>
      </c>
      <c r="AI41" s="24">
        <v>466.68086721477931</v>
      </c>
      <c r="AJ41" s="24">
        <v>489.79016563977711</v>
      </c>
      <c r="AK41" s="24">
        <v>509.42713583293488</v>
      </c>
      <c r="AL41" s="24">
        <v>503.87157825194322</v>
      </c>
      <c r="AM41" s="24">
        <v>506.87877990606654</v>
      </c>
      <c r="AN41" s="24">
        <v>525.56750682169206</v>
      </c>
      <c r="AO41" s="24">
        <v>617.02986788140606</v>
      </c>
      <c r="AP41" s="24">
        <v>589.54164912118472</v>
      </c>
      <c r="AQ41" s="24">
        <v>597.40086312962057</v>
      </c>
      <c r="AR41" s="24">
        <v>618.76980656410842</v>
      </c>
      <c r="AS41" s="24">
        <v>868.01545914077974</v>
      </c>
      <c r="AT41" s="24">
        <v>850.02894917809385</v>
      </c>
      <c r="AU41" s="24">
        <v>814</v>
      </c>
      <c r="AV41" s="24">
        <v>838.4</v>
      </c>
      <c r="AW41" s="24">
        <v>578</v>
      </c>
      <c r="AX41" s="24">
        <v>629.28588639168436</v>
      </c>
    </row>
    <row r="42" spans="1:50">
      <c r="A42" s="1">
        <v>7</v>
      </c>
      <c r="B42" s="5" t="s">
        <v>119</v>
      </c>
      <c r="C42" s="24">
        <f t="shared" ref="C42:C51" si="34">HLOOKUP($C$6,$H$36:$BG$51,$G42,FALSE)</f>
        <v>38.633055820679544</v>
      </c>
      <c r="D42" s="24">
        <f t="shared" ref="D42:D51" si="35">HLOOKUP($D$6,$H$36:$BG$51,$G42,FALSE)</f>
        <v>220.41981930216045</v>
      </c>
      <c r="E42" s="111" t="s">
        <v>131</v>
      </c>
      <c r="G42" s="56">
        <f t="shared" si="29"/>
        <v>7</v>
      </c>
      <c r="H42" s="5" t="s">
        <v>119</v>
      </c>
      <c r="I42" s="33"/>
      <c r="J42" s="33"/>
      <c r="K42" s="33"/>
      <c r="L42" s="33"/>
      <c r="M42" s="33"/>
      <c r="N42" s="33"/>
      <c r="O42" s="33"/>
      <c r="P42" s="33"/>
      <c r="Q42" s="33">
        <v>0</v>
      </c>
      <c r="R42" s="24">
        <v>71.332581632997972</v>
      </c>
      <c r="S42" s="24">
        <v>270.61727116359646</v>
      </c>
      <c r="T42" s="24">
        <v>483.0232191752059</v>
      </c>
      <c r="U42" s="24">
        <v>118.68076863221151</v>
      </c>
      <c r="V42" s="24">
        <v>336</v>
      </c>
      <c r="W42" s="24">
        <v>354.58010644829352</v>
      </c>
      <c r="X42" s="24">
        <v>290.16367204930543</v>
      </c>
      <c r="Y42" s="24">
        <v>55.825968230559759</v>
      </c>
      <c r="Z42" s="24">
        <v>173.63322159405053</v>
      </c>
      <c r="AA42" s="24">
        <v>371.0847186405806</v>
      </c>
      <c r="AB42" s="24">
        <v>442.96485769998151</v>
      </c>
      <c r="AC42" s="24">
        <v>189.19375944107159</v>
      </c>
      <c r="AD42" s="24">
        <v>276.82251898229845</v>
      </c>
      <c r="AE42" s="24">
        <v>430.10112776056849</v>
      </c>
      <c r="AF42" s="24">
        <v>92.184780553459206</v>
      </c>
      <c r="AG42" s="24">
        <v>0</v>
      </c>
      <c r="AH42" s="24">
        <v>214.03908858142407</v>
      </c>
      <c r="AI42" s="24">
        <v>552.21832102011876</v>
      </c>
      <c r="AJ42" s="24">
        <v>476.18994898937126</v>
      </c>
      <c r="AK42" s="24">
        <v>51.536995755000873</v>
      </c>
      <c r="AL42" s="24">
        <v>373.99054771623867</v>
      </c>
      <c r="AM42" s="24">
        <v>676.72777739843013</v>
      </c>
      <c r="AN42" s="24">
        <v>381.07772852116545</v>
      </c>
      <c r="AO42" s="24">
        <v>384.91165337545465</v>
      </c>
      <c r="AP42" s="24">
        <v>362.83516399293444</v>
      </c>
      <c r="AQ42" s="24">
        <v>553</v>
      </c>
      <c r="AR42" s="24">
        <v>555.86137345134637</v>
      </c>
      <c r="AS42" s="24">
        <v>82.474370579136405</v>
      </c>
      <c r="AT42" s="24">
        <v>38.633055820679544</v>
      </c>
      <c r="AU42" s="24">
        <v>355</v>
      </c>
      <c r="AV42" s="24">
        <v>148.4</v>
      </c>
      <c r="AW42" s="24">
        <v>239.05418446802031</v>
      </c>
      <c r="AX42" s="24">
        <v>220.41981930216045</v>
      </c>
    </row>
    <row r="43" spans="1:50" ht="6" customHeight="1">
      <c r="A43" s="1">
        <v>8</v>
      </c>
      <c r="C43" s="25">
        <f t="shared" si="34"/>
        <v>0</v>
      </c>
      <c r="D43" s="25">
        <f t="shared" si="35"/>
        <v>0</v>
      </c>
      <c r="E43" s="52"/>
      <c r="G43" s="56">
        <f t="shared" si="29"/>
        <v>8</v>
      </c>
      <c r="I43" s="32"/>
      <c r="J43" s="32"/>
      <c r="K43" s="32"/>
      <c r="L43" s="32"/>
      <c r="M43" s="32"/>
      <c r="N43" s="32"/>
      <c r="O43" s="32"/>
      <c r="P43" s="32"/>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row>
    <row r="44" spans="1:50">
      <c r="A44" s="1">
        <v>9</v>
      </c>
      <c r="B44" s="5" t="s">
        <v>120</v>
      </c>
      <c r="C44" s="24">
        <f t="shared" si="34"/>
        <v>569.84318797499998</v>
      </c>
      <c r="D44" s="24">
        <f t="shared" si="35"/>
        <v>568.47429751210348</v>
      </c>
      <c r="E44" s="111">
        <f t="shared" ref="E44" si="36">+D44/C44-1</f>
        <v>-2.402223088357025E-3</v>
      </c>
      <c r="G44" s="56">
        <f t="shared" si="29"/>
        <v>9</v>
      </c>
      <c r="H44" s="5" t="s">
        <v>120</v>
      </c>
      <c r="I44" s="33"/>
      <c r="J44" s="33"/>
      <c r="K44" s="33"/>
      <c r="L44" s="33"/>
      <c r="M44" s="33"/>
      <c r="N44" s="33"/>
      <c r="O44" s="33"/>
      <c r="P44" s="33"/>
      <c r="Q44" s="24">
        <v>561</v>
      </c>
      <c r="R44" s="24">
        <v>561.85</v>
      </c>
      <c r="S44" s="24">
        <v>563</v>
      </c>
      <c r="T44" s="24">
        <v>563.79843672169034</v>
      </c>
      <c r="U44" s="24">
        <v>562.0491675086156</v>
      </c>
      <c r="V44" s="24">
        <v>555</v>
      </c>
      <c r="W44" s="24">
        <v>556.32527854111379</v>
      </c>
      <c r="X44" s="24">
        <v>553.79857139638716</v>
      </c>
      <c r="Y44" s="24">
        <v>551.44933226868807</v>
      </c>
      <c r="Z44" s="24">
        <v>550.05621080812159</v>
      </c>
      <c r="AA44" s="24">
        <v>552.75187275807718</v>
      </c>
      <c r="AB44" s="24">
        <v>553.50897294893377</v>
      </c>
      <c r="AC44" s="24">
        <v>554.83417320313413</v>
      </c>
      <c r="AD44" s="24">
        <v>556.62828233456105</v>
      </c>
      <c r="AE44" s="24">
        <v>430.10112776056849</v>
      </c>
      <c r="AF44" s="24">
        <v>558.47159496645133</v>
      </c>
      <c r="AG44" s="24">
        <v>557.94881104256535</v>
      </c>
      <c r="AH44" s="24">
        <v>559.66719784939505</v>
      </c>
      <c r="AI44" s="24">
        <v>558.44830965854737</v>
      </c>
      <c r="AJ44" s="24">
        <v>558.44795283732333</v>
      </c>
      <c r="AK44" s="24">
        <v>560.43931524796665</v>
      </c>
      <c r="AL44" s="24">
        <v>563.2322290763849</v>
      </c>
      <c r="AM44" s="24">
        <v>564.61862806833153</v>
      </c>
      <c r="AN44" s="24">
        <v>566.05694539025978</v>
      </c>
      <c r="AO44" s="24">
        <v>567.77232808725637</v>
      </c>
      <c r="AP44" s="24">
        <v>567.71736581526534</v>
      </c>
      <c r="AQ44" s="24">
        <v>570</v>
      </c>
      <c r="AR44" s="24">
        <v>569.88417776799838</v>
      </c>
      <c r="AS44" s="24">
        <v>570.01257505399542</v>
      </c>
      <c r="AT44" s="24">
        <v>569.84318797499998</v>
      </c>
      <c r="AU44" s="24">
        <v>570</v>
      </c>
      <c r="AV44" s="24">
        <v>570</v>
      </c>
      <c r="AW44" s="24">
        <v>571</v>
      </c>
      <c r="AX44" s="24">
        <v>568.47429751210348</v>
      </c>
    </row>
    <row r="45" spans="1:50" ht="12.75" customHeight="1">
      <c r="A45" s="1">
        <v>10</v>
      </c>
      <c r="E45" s="52"/>
      <c r="G45" s="56">
        <f t="shared" si="29"/>
        <v>10</v>
      </c>
      <c r="I45" s="32"/>
      <c r="J45" s="32"/>
      <c r="K45" s="32"/>
      <c r="L45" s="32"/>
      <c r="M45" s="32"/>
      <c r="N45" s="32"/>
      <c r="O45" s="32"/>
      <c r="P45" s="32"/>
    </row>
    <row r="46" spans="1:50">
      <c r="A46" s="1">
        <v>11</v>
      </c>
      <c r="B46" s="6" t="s">
        <v>121</v>
      </c>
      <c r="C46" s="23">
        <f t="shared" si="34"/>
        <v>337.51918882592179</v>
      </c>
      <c r="D46" s="23">
        <f t="shared" si="35"/>
        <v>864.50316103526006</v>
      </c>
      <c r="E46" s="66">
        <f>D46/C46-1</f>
        <v>1.5613452202302325</v>
      </c>
      <c r="G46" s="56">
        <f t="shared" si="29"/>
        <v>11</v>
      </c>
      <c r="H46" s="6" t="s">
        <v>121</v>
      </c>
      <c r="I46" s="31"/>
      <c r="J46" s="31"/>
      <c r="K46" s="31"/>
      <c r="L46" s="31"/>
      <c r="M46" s="31"/>
      <c r="N46" s="31"/>
      <c r="O46" s="31"/>
      <c r="P46" s="31"/>
      <c r="Q46" s="23">
        <v>663</v>
      </c>
      <c r="R46" s="23">
        <v>800</v>
      </c>
      <c r="S46" s="23">
        <v>906.60296019489226</v>
      </c>
      <c r="T46" s="23">
        <v>1211</v>
      </c>
      <c r="U46" s="23">
        <v>715.32866794394647</v>
      </c>
      <c r="V46" s="23">
        <v>1074</v>
      </c>
      <c r="W46" s="23">
        <v>1188.0124632138675</v>
      </c>
      <c r="X46" s="23">
        <f t="shared" ref="X46:AP46" si="37">X48</f>
        <v>1135.4340123571928</v>
      </c>
      <c r="Y46" s="23">
        <f t="shared" si="37"/>
        <v>604.51495743320493</v>
      </c>
      <c r="Z46" s="23">
        <f t="shared" si="37"/>
        <v>1002.3766853551615</v>
      </c>
      <c r="AA46" s="23">
        <f t="shared" si="37"/>
        <v>1120.5979260393226</v>
      </c>
      <c r="AB46" s="23">
        <f t="shared" si="37"/>
        <v>1186.0360253896108</v>
      </c>
      <c r="AC46" s="23">
        <f t="shared" si="37"/>
        <v>931.62044726669956</v>
      </c>
      <c r="AD46" s="23">
        <f t="shared" si="37"/>
        <v>937.26247630600551</v>
      </c>
      <c r="AE46" s="23">
        <f t="shared" si="37"/>
        <v>1185.39815986183</v>
      </c>
      <c r="AF46" s="23">
        <f t="shared" si="37"/>
        <v>713.17974191683015</v>
      </c>
      <c r="AG46" s="23">
        <f t="shared" si="37"/>
        <v>343.09821429481127</v>
      </c>
      <c r="AH46" s="23">
        <f t="shared" si="37"/>
        <v>512.9721762170193</v>
      </c>
      <c r="AI46" s="23">
        <f t="shared" si="37"/>
        <v>1041.8325739005161</v>
      </c>
      <c r="AJ46" s="23">
        <f t="shared" si="37"/>
        <v>989.03271813771471</v>
      </c>
      <c r="AK46" s="23">
        <f t="shared" si="37"/>
        <v>520.66747253658468</v>
      </c>
      <c r="AL46" s="23">
        <f t="shared" si="37"/>
        <v>778.16852065162254</v>
      </c>
      <c r="AM46" s="23">
        <f t="shared" si="37"/>
        <v>1210.0593126671508</v>
      </c>
      <c r="AN46" s="23">
        <f t="shared" si="37"/>
        <v>930.07540105793123</v>
      </c>
      <c r="AO46" s="23">
        <f t="shared" si="37"/>
        <v>1027.2936049546111</v>
      </c>
      <c r="AP46" s="23">
        <f t="shared" si="37"/>
        <v>929.45667144024651</v>
      </c>
      <c r="AQ46" s="23">
        <v>1176</v>
      </c>
      <c r="AR46" s="23">
        <f>+AR48</f>
        <v>1201.6747256588701</v>
      </c>
      <c r="AS46" s="23">
        <v>969.29690750710495</v>
      </c>
      <c r="AT46" s="23">
        <v>337.51918882592179</v>
      </c>
      <c r="AU46" s="23">
        <v>1197.2523524512408</v>
      </c>
      <c r="AV46" s="23">
        <f>AV48</f>
        <v>900</v>
      </c>
      <c r="AW46" s="23">
        <f>AW48</f>
        <v>771</v>
      </c>
      <c r="AX46" s="23">
        <f>+AX48</f>
        <v>864.50316103526006</v>
      </c>
    </row>
    <row r="47" spans="1:50" ht="6" customHeight="1">
      <c r="A47" s="1">
        <v>12</v>
      </c>
      <c r="E47" s="52"/>
      <c r="G47" s="56">
        <f t="shared" si="29"/>
        <v>12</v>
      </c>
      <c r="I47" s="32"/>
      <c r="J47" s="32"/>
      <c r="K47" s="32"/>
      <c r="L47" s="32"/>
      <c r="M47" s="32"/>
      <c r="N47" s="32"/>
      <c r="O47" s="32"/>
      <c r="P47" s="32"/>
    </row>
    <row r="48" spans="1:50">
      <c r="A48" s="1">
        <v>13</v>
      </c>
      <c r="B48" s="5" t="s">
        <v>134</v>
      </c>
      <c r="C48" s="24">
        <f t="shared" si="34"/>
        <v>337.51918882592179</v>
      </c>
      <c r="D48" s="24">
        <f t="shared" si="35"/>
        <v>864.50316103526006</v>
      </c>
      <c r="E48" s="47" t="s">
        <v>131</v>
      </c>
      <c r="G48" s="56">
        <f t="shared" si="29"/>
        <v>13</v>
      </c>
      <c r="H48" s="5" t="s">
        <v>134</v>
      </c>
      <c r="I48" s="33"/>
      <c r="J48" s="33"/>
      <c r="K48" s="33"/>
      <c r="L48" s="33"/>
      <c r="M48" s="33"/>
      <c r="N48" s="33"/>
      <c r="O48" s="33"/>
      <c r="P48" s="33"/>
      <c r="Q48" s="24">
        <v>663</v>
      </c>
      <c r="R48" s="24">
        <v>800</v>
      </c>
      <c r="S48" s="24">
        <v>906.60296019489226</v>
      </c>
      <c r="T48" s="24">
        <v>1211</v>
      </c>
      <c r="U48" s="24">
        <v>715.32866794394647</v>
      </c>
      <c r="V48" s="24">
        <v>1074</v>
      </c>
      <c r="W48" s="24">
        <v>1188.0124632138675</v>
      </c>
      <c r="X48" s="24">
        <v>1135.4340123571928</v>
      </c>
      <c r="Y48" s="24">
        <v>604.51495743320493</v>
      </c>
      <c r="Z48" s="24">
        <v>1002.3766853551615</v>
      </c>
      <c r="AA48" s="24">
        <v>1120.5979260393226</v>
      </c>
      <c r="AB48" s="24">
        <v>1186.0360253896108</v>
      </c>
      <c r="AC48" s="24">
        <v>931.62044726669956</v>
      </c>
      <c r="AD48" s="24">
        <v>937.26247630600551</v>
      </c>
      <c r="AE48" s="24">
        <v>1185.39815986183</v>
      </c>
      <c r="AF48" s="24">
        <v>713.17974191683015</v>
      </c>
      <c r="AG48" s="24">
        <v>343.09821429481127</v>
      </c>
      <c r="AH48" s="24">
        <v>512.9721762170193</v>
      </c>
      <c r="AI48" s="24">
        <v>1041.8325739005161</v>
      </c>
      <c r="AJ48" s="24">
        <v>989.03271813771471</v>
      </c>
      <c r="AK48" s="24">
        <v>520.66747253658468</v>
      </c>
      <c r="AL48" s="24">
        <v>778.16852065162254</v>
      </c>
      <c r="AM48" s="24">
        <v>1210.0593126671508</v>
      </c>
      <c r="AN48" s="24">
        <v>930.07540105793123</v>
      </c>
      <c r="AO48" s="24">
        <v>1027.2936049546111</v>
      </c>
      <c r="AP48" s="24">
        <v>929.45667144024651</v>
      </c>
      <c r="AQ48" s="24">
        <v>1176</v>
      </c>
      <c r="AR48" s="24">
        <v>1201.6747256588701</v>
      </c>
      <c r="AS48" s="24">
        <v>969.29690750710495</v>
      </c>
      <c r="AT48" s="24">
        <v>337.51918882592179</v>
      </c>
      <c r="AU48" s="24">
        <v>1197.2523524512408</v>
      </c>
      <c r="AV48" s="24">
        <v>900</v>
      </c>
      <c r="AW48" s="24">
        <v>771</v>
      </c>
      <c r="AX48" s="24">
        <v>864.50316103526006</v>
      </c>
    </row>
    <row r="49" spans="1:50">
      <c r="A49" s="1">
        <v>14</v>
      </c>
      <c r="B49" s="5" t="s">
        <v>130</v>
      </c>
      <c r="C49" s="60">
        <f t="shared" si="34"/>
        <v>562.27625532073023</v>
      </c>
      <c r="D49" s="60">
        <f t="shared" si="35"/>
        <v>7.0900601357258211</v>
      </c>
      <c r="E49" s="112" t="s">
        <v>131</v>
      </c>
      <c r="G49" s="56">
        <f t="shared" si="29"/>
        <v>14</v>
      </c>
      <c r="H49" s="5" t="s">
        <v>130</v>
      </c>
      <c r="I49" s="33"/>
      <c r="J49" s="33"/>
      <c r="K49" s="33"/>
      <c r="L49" s="33"/>
      <c r="M49" s="33"/>
      <c r="N49" s="33"/>
      <c r="O49" s="33"/>
      <c r="P49" s="33"/>
      <c r="Q49" s="24">
        <v>117.26579863620114</v>
      </c>
      <c r="R49" s="24">
        <v>146.8918117608051</v>
      </c>
      <c r="S49" s="24">
        <v>46.406399015580696</v>
      </c>
      <c r="T49" s="29">
        <v>0</v>
      </c>
      <c r="U49" s="24">
        <v>92.800363549785231</v>
      </c>
      <c r="V49" s="29">
        <v>0</v>
      </c>
      <c r="W49" s="29">
        <v>0</v>
      </c>
      <c r="X49" s="29">
        <v>0</v>
      </c>
      <c r="Y49" s="29">
        <v>209.5338502374496</v>
      </c>
      <c r="Z49" s="29">
        <v>0</v>
      </c>
      <c r="AA49" s="29">
        <v>0</v>
      </c>
      <c r="AB49" s="29">
        <v>0</v>
      </c>
      <c r="AC49" s="29">
        <v>33.27100362594868</v>
      </c>
      <c r="AD49" s="29">
        <v>67.834889965652422</v>
      </c>
      <c r="AE49" s="29">
        <v>0</v>
      </c>
      <c r="AF49" s="29">
        <v>130.70588047518626</v>
      </c>
      <c r="AG49" s="29">
        <v>185.6060478259773</v>
      </c>
      <c r="AH49" s="29">
        <v>127.77895410268108</v>
      </c>
      <c r="AI49" s="29">
        <v>0</v>
      </c>
      <c r="AJ49" s="29">
        <v>0</v>
      </c>
      <c r="AK49" s="29">
        <v>57.645095655213254</v>
      </c>
      <c r="AL49" s="29">
        <v>120.04272042266</v>
      </c>
      <c r="AM49" s="29">
        <v>0</v>
      </c>
      <c r="AN49" s="29">
        <v>0</v>
      </c>
      <c r="AO49" s="60">
        <v>0</v>
      </c>
      <c r="AP49" s="60">
        <v>44.494576904377624</v>
      </c>
      <c r="AQ49" s="60">
        <v>0</v>
      </c>
      <c r="AR49" s="60"/>
      <c r="AS49" s="60">
        <v>5</v>
      </c>
      <c r="AT49" s="60">
        <v>562.27625532073023</v>
      </c>
      <c r="AU49" s="60">
        <v>0</v>
      </c>
      <c r="AV49" s="60">
        <v>109</v>
      </c>
      <c r="AW49" s="60">
        <v>66</v>
      </c>
      <c r="AX49" s="60">
        <v>7.0900601357258211</v>
      </c>
    </row>
    <row r="50" spans="1:50" ht="6" customHeight="1">
      <c r="A50" s="1">
        <v>15</v>
      </c>
      <c r="C50" s="25">
        <f t="shared" si="34"/>
        <v>0</v>
      </c>
      <c r="D50" s="25">
        <f t="shared" si="35"/>
        <v>0</v>
      </c>
      <c r="E50" s="52"/>
      <c r="G50" s="56">
        <f t="shared" si="29"/>
        <v>15</v>
      </c>
      <c r="I50" s="32"/>
      <c r="J50" s="32"/>
      <c r="K50" s="32"/>
      <c r="L50" s="32"/>
      <c r="M50" s="32"/>
      <c r="N50" s="32"/>
      <c r="O50" s="32"/>
      <c r="P50" s="32"/>
      <c r="Q50" s="25"/>
      <c r="R50" s="25"/>
      <c r="S50" s="25"/>
      <c r="T50" s="25"/>
      <c r="U50" s="25"/>
      <c r="V50" s="25"/>
      <c r="W50" s="25"/>
      <c r="X50" s="25"/>
      <c r="Y50" s="25"/>
      <c r="Z50" s="25"/>
      <c r="AA50" s="25"/>
      <c r="AB50" s="25">
        <v>0</v>
      </c>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c r="A51" s="1">
        <v>16</v>
      </c>
      <c r="B51" s="83" t="s">
        <v>132</v>
      </c>
      <c r="C51" s="26">
        <f t="shared" si="34"/>
        <v>-523.64319950005074</v>
      </c>
      <c r="D51" s="26">
        <f t="shared" si="35"/>
        <v>213.32975916643463</v>
      </c>
      <c r="E51" s="113" t="s">
        <v>131</v>
      </c>
      <c r="G51" s="56">
        <f t="shared" si="29"/>
        <v>16</v>
      </c>
      <c r="H51" s="19" t="s">
        <v>132</v>
      </c>
      <c r="I51" s="34"/>
      <c r="J51" s="34"/>
      <c r="K51" s="34"/>
      <c r="L51" s="34"/>
      <c r="M51" s="34"/>
      <c r="N51" s="34"/>
      <c r="O51" s="34"/>
      <c r="P51" s="34"/>
      <c r="Q51" s="26">
        <v>-117.26579863620114</v>
      </c>
      <c r="R51" s="26">
        <v>-75.559230127807126</v>
      </c>
      <c r="S51" s="26">
        <v>224.21087214801599</v>
      </c>
      <c r="T51" s="26">
        <v>483.0232191752059</v>
      </c>
      <c r="U51" s="26">
        <v>25.880405082426279</v>
      </c>
      <c r="V51" s="26">
        <v>336</v>
      </c>
      <c r="W51" s="26">
        <v>354.58010644829352</v>
      </c>
      <c r="X51" s="26">
        <v>355.58010644829398</v>
      </c>
      <c r="Y51" s="26">
        <v>-153.70788200688983</v>
      </c>
      <c r="Z51" s="26">
        <f t="shared" ref="Z51:AP51" si="38">Z42-Z49</f>
        <v>173.63322159405053</v>
      </c>
      <c r="AA51" s="26">
        <f t="shared" si="38"/>
        <v>371.0847186405806</v>
      </c>
      <c r="AB51" s="26">
        <f t="shared" si="38"/>
        <v>442.96485769998151</v>
      </c>
      <c r="AC51" s="26">
        <f t="shared" si="38"/>
        <v>155.92275581512291</v>
      </c>
      <c r="AD51" s="26">
        <f t="shared" si="38"/>
        <v>208.98762901664603</v>
      </c>
      <c r="AE51" s="26">
        <f t="shared" si="38"/>
        <v>430.10112776056849</v>
      </c>
      <c r="AF51" s="26">
        <f t="shared" si="38"/>
        <v>-38.521099921727057</v>
      </c>
      <c r="AG51" s="26">
        <f t="shared" si="38"/>
        <v>-185.6060478259773</v>
      </c>
      <c r="AH51" s="26">
        <f t="shared" si="38"/>
        <v>86.260134478742984</v>
      </c>
      <c r="AI51" s="26">
        <f t="shared" si="38"/>
        <v>552.21832102011876</v>
      </c>
      <c r="AJ51" s="26">
        <f t="shared" si="38"/>
        <v>476.18994898937126</v>
      </c>
      <c r="AK51" s="26">
        <f t="shared" si="38"/>
        <v>-6.1080999002123804</v>
      </c>
      <c r="AL51" s="26">
        <f t="shared" si="38"/>
        <v>253.94782729357865</v>
      </c>
      <c r="AM51" s="26">
        <f t="shared" si="38"/>
        <v>676.72777739843013</v>
      </c>
      <c r="AN51" s="26">
        <f t="shared" si="38"/>
        <v>381.07772852116545</v>
      </c>
      <c r="AO51" s="26">
        <f t="shared" si="38"/>
        <v>384.91165337545465</v>
      </c>
      <c r="AP51" s="26">
        <f t="shared" si="38"/>
        <v>318.34058708855684</v>
      </c>
      <c r="AQ51" s="26">
        <f t="shared" ref="AQ51" si="39">AQ42-AQ49</f>
        <v>553</v>
      </c>
      <c r="AR51" s="26">
        <f>+AR42-AR49</f>
        <v>555.86137345134637</v>
      </c>
      <c r="AS51" s="26">
        <v>77.474370579136405</v>
      </c>
      <c r="AT51" s="26">
        <v>-523.64319950005074</v>
      </c>
      <c r="AU51" s="26">
        <v>355</v>
      </c>
      <c r="AV51" s="26">
        <v>39</v>
      </c>
      <c r="AW51" s="26">
        <v>173.05418446802031</v>
      </c>
      <c r="AX51" s="26">
        <f>+AX42-AX49</f>
        <v>213.32975916643463</v>
      </c>
    </row>
    <row r="53" spans="1:50">
      <c r="B53" s="1" t="s">
        <v>135</v>
      </c>
    </row>
    <row r="54" spans="1:50">
      <c r="B54" s="1" t="s">
        <v>136</v>
      </c>
    </row>
  </sheetData>
  <mergeCells count="90">
    <mergeCell ref="AV6:AV7"/>
    <mergeCell ref="AV36:AV37"/>
    <mergeCell ref="AS6:AS7"/>
    <mergeCell ref="AR6:AR7"/>
    <mergeCell ref="AR36:AR37"/>
    <mergeCell ref="AS36:AS37"/>
    <mergeCell ref="AU6:AU7"/>
    <mergeCell ref="AU36:AU37"/>
    <mergeCell ref="AT6:AT7"/>
    <mergeCell ref="AT36:AT37"/>
    <mergeCell ref="AQ36:AQ37"/>
    <mergeCell ref="AO6:AO7"/>
    <mergeCell ref="AO36:AO37"/>
    <mergeCell ref="AQ6:AQ7"/>
    <mergeCell ref="AP6:AP7"/>
    <mergeCell ref="AP36:AP37"/>
    <mergeCell ref="AA6:AA7"/>
    <mergeCell ref="AA36:AA37"/>
    <mergeCell ref="AB6:AB7"/>
    <mergeCell ref="AB36:AB37"/>
    <mergeCell ref="AE6:AE7"/>
    <mergeCell ref="AE36:AE37"/>
    <mergeCell ref="AD6:AD7"/>
    <mergeCell ref="AD36:AD37"/>
    <mergeCell ref="AC6:AC7"/>
    <mergeCell ref="AC36:AC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 ref="C36:C37"/>
    <mergeCell ref="D36:D37"/>
    <mergeCell ref="E36:E37"/>
    <mergeCell ref="I36:I37"/>
    <mergeCell ref="J36:J37"/>
    <mergeCell ref="C6:C7"/>
    <mergeCell ref="D6:D7"/>
    <mergeCell ref="E6:E7"/>
    <mergeCell ref="I6:I7"/>
    <mergeCell ref="J6:J7"/>
    <mergeCell ref="P6:P7"/>
    <mergeCell ref="Q36:Q37"/>
    <mergeCell ref="R36:R37"/>
    <mergeCell ref="S36:S37"/>
    <mergeCell ref="T36:T37"/>
    <mergeCell ref="Q6:Q7"/>
    <mergeCell ref="R6:R7"/>
    <mergeCell ref="S6:S7"/>
    <mergeCell ref="Z6:Z7"/>
    <mergeCell ref="Z36:Z37"/>
    <mergeCell ref="AM6:AM7"/>
    <mergeCell ref="AM36:AM37"/>
    <mergeCell ref="K36:K37"/>
    <mergeCell ref="K6:K7"/>
    <mergeCell ref="L36:L37"/>
    <mergeCell ref="M36:M37"/>
    <mergeCell ref="N36:N37"/>
    <mergeCell ref="O36:O37"/>
    <mergeCell ref="P36:P37"/>
    <mergeCell ref="T6:T7"/>
    <mergeCell ref="L6:L7"/>
    <mergeCell ref="M6:M7"/>
    <mergeCell ref="N6:N7"/>
    <mergeCell ref="O6:O7"/>
    <mergeCell ref="AX6:AX7"/>
    <mergeCell ref="AX36:AX37"/>
    <mergeCell ref="AW6:AW7"/>
    <mergeCell ref="AW36:AW37"/>
    <mergeCell ref="U36:U37"/>
    <mergeCell ref="AN6:AN7"/>
    <mergeCell ref="AN36:AN37"/>
    <mergeCell ref="U6:U7"/>
    <mergeCell ref="Y6:Y7"/>
    <mergeCell ref="Y36:Y37"/>
    <mergeCell ref="V36:V37"/>
    <mergeCell ref="V6:V7"/>
    <mergeCell ref="W6:W7"/>
    <mergeCell ref="X6:X7"/>
    <mergeCell ref="X36:X37"/>
    <mergeCell ref="W36:W37"/>
  </mergeCells>
  <phoneticPr fontId="14" type="noConversion"/>
  <pageMargins left="0.7" right="0.7" top="0.75" bottom="0.75" header="0.3" footer="0.3"/>
  <pageSetup orientation="portrait" r:id="rId1"/>
  <ignoredErrors>
    <ignoredError sqref="I24 J24:AG24 AK24 AH24:AJ24 AL24:AM24 AP24:AU24 AV9" formulaRange="1"/>
    <ignoredError sqref="AN24:AO24" formula="1"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9" tint="0.79998168889431442"/>
  </sheetPr>
  <dimension ref="A3:AN50"/>
  <sheetViews>
    <sheetView topLeftCell="B1" zoomScale="80" zoomScaleNormal="80" workbookViewId="0">
      <selection activeCell="B6" sqref="A6:XFD7"/>
    </sheetView>
  </sheetViews>
  <sheetFormatPr baseColWidth="10" defaultColWidth="11.453125" defaultRowHeight="13.5"/>
  <cols>
    <col min="1" max="1" width="0" style="1" hidden="1" customWidth="1"/>
    <col min="2" max="2" width="57.453125" style="1" customWidth="1"/>
    <col min="3" max="6" width="11.453125" style="1"/>
    <col min="7" max="7" width="11.453125" style="56"/>
    <col min="8" max="8" width="57.453125" style="1" customWidth="1"/>
    <col min="9" max="27" width="11.453125" style="1" customWidth="1"/>
    <col min="28" max="28" width="11.54296875" style="1" customWidth="1"/>
    <col min="29" max="34" width="11.453125" style="1" customWidth="1"/>
    <col min="35" max="16384" width="11.453125" style="1"/>
  </cols>
  <sheetData>
    <row r="3" spans="1:40">
      <c r="X3" s="77"/>
    </row>
    <row r="4" spans="1:40" ht="23.5">
      <c r="B4" s="11" t="s">
        <v>137</v>
      </c>
      <c r="C4" s="12"/>
      <c r="D4" s="12"/>
      <c r="E4" s="12"/>
      <c r="H4" s="11" t="s">
        <v>137</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row>
    <row r="5" spans="1:40" ht="8.25" customHeight="1"/>
    <row r="6" spans="1:40" s="131" customFormat="1" ht="15.75" customHeight="1">
      <c r="A6" s="131">
        <v>1</v>
      </c>
      <c r="B6" s="3" t="s">
        <v>138</v>
      </c>
      <c r="C6" s="138" t="s">
        <v>112</v>
      </c>
      <c r="D6" s="138" t="s">
        <v>221</v>
      </c>
      <c r="E6" s="138" t="s">
        <v>75</v>
      </c>
      <c r="G6" s="132">
        <v>1</v>
      </c>
      <c r="H6" s="3" t="s">
        <v>138</v>
      </c>
      <c r="I6" s="138" t="s">
        <v>88</v>
      </c>
      <c r="J6" s="138" t="s">
        <v>89</v>
      </c>
      <c r="K6" s="138" t="s">
        <v>90</v>
      </c>
      <c r="L6" s="138" t="s">
        <v>91</v>
      </c>
      <c r="M6" s="138" t="s">
        <v>92</v>
      </c>
      <c r="N6" s="138" t="s">
        <v>93</v>
      </c>
      <c r="O6" s="138" t="s">
        <v>94</v>
      </c>
      <c r="P6" s="138" t="s">
        <v>95</v>
      </c>
      <c r="Q6" s="138" t="s">
        <v>96</v>
      </c>
      <c r="R6" s="138" t="s">
        <v>139</v>
      </c>
      <c r="S6" s="138" t="s">
        <v>98</v>
      </c>
      <c r="T6" s="138" t="s">
        <v>99</v>
      </c>
      <c r="U6" s="138" t="s">
        <v>100</v>
      </c>
      <c r="V6" s="138" t="s">
        <v>101</v>
      </c>
      <c r="W6" s="138" t="s">
        <v>102</v>
      </c>
      <c r="X6" s="138" t="s">
        <v>103</v>
      </c>
      <c r="Y6" s="138" t="s">
        <v>104</v>
      </c>
      <c r="Z6" s="138" t="s">
        <v>105</v>
      </c>
      <c r="AA6" s="138" t="s">
        <v>106</v>
      </c>
      <c r="AB6" s="138" t="s">
        <v>107</v>
      </c>
      <c r="AC6" s="138" t="s">
        <v>108</v>
      </c>
      <c r="AD6" s="138" t="s">
        <v>109</v>
      </c>
      <c r="AE6" s="138" t="s">
        <v>110</v>
      </c>
      <c r="AF6" s="138" t="s">
        <v>111</v>
      </c>
      <c r="AG6" s="138" t="s">
        <v>73</v>
      </c>
      <c r="AH6" s="138" t="s">
        <v>112</v>
      </c>
      <c r="AI6" s="138" t="s">
        <v>113</v>
      </c>
      <c r="AJ6" s="138" t="s">
        <v>114</v>
      </c>
      <c r="AK6" s="138" t="s">
        <v>74</v>
      </c>
      <c r="AL6" s="138" t="s">
        <v>221</v>
      </c>
    </row>
    <row r="7" spans="1:40" s="131" customFormat="1">
      <c r="A7" s="131">
        <v>2</v>
      </c>
      <c r="B7" s="3" t="s">
        <v>140</v>
      </c>
      <c r="C7" s="138"/>
      <c r="D7" s="138"/>
      <c r="E7" s="138"/>
      <c r="G7" s="132">
        <f>G6+1</f>
        <v>2</v>
      </c>
      <c r="H7" s="3" t="s">
        <v>140</v>
      </c>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row>
    <row r="8" spans="1:40" ht="6.75" customHeight="1">
      <c r="A8" s="1">
        <v>3</v>
      </c>
      <c r="G8" s="56">
        <f t="shared" ref="G8:G46" si="0">G7+1</f>
        <v>3</v>
      </c>
    </row>
    <row r="9" spans="1:40">
      <c r="A9" s="1">
        <v>4</v>
      </c>
      <c r="B9" s="2" t="s">
        <v>141</v>
      </c>
      <c r="C9" s="73">
        <f>HLOOKUP($C$6,$H$6:$BW$46,$G9,FALSE)</f>
        <v>546.00599498124291</v>
      </c>
      <c r="D9" s="73">
        <f>HLOOKUP($D$6,$H$6:$BW$46,$G9,FALSE)</f>
        <v>425.52260173931501</v>
      </c>
      <c r="E9" s="37">
        <f>D9/C9-1</f>
        <v>-0.22066313254686321</v>
      </c>
      <c r="G9" s="56">
        <f t="shared" si="0"/>
        <v>4</v>
      </c>
      <c r="H9" s="2" t="s">
        <v>141</v>
      </c>
      <c r="I9" s="9">
        <f t="shared" ref="I9:AA9" si="1">SUM(I10:I11)</f>
        <v>382.04352459</v>
      </c>
      <c r="J9" s="9">
        <f t="shared" si="1"/>
        <v>393.52543853000003</v>
      </c>
      <c r="K9" s="9">
        <f t="shared" si="1"/>
        <v>384.01442531999993</v>
      </c>
      <c r="L9" s="9">
        <f t="shared" si="1"/>
        <v>388.82864637</v>
      </c>
      <c r="M9" s="9">
        <f t="shared" si="1"/>
        <v>406.61819793000001</v>
      </c>
      <c r="N9" s="9">
        <f t="shared" si="1"/>
        <v>400.79995629000001</v>
      </c>
      <c r="O9" s="9">
        <f t="shared" si="1"/>
        <v>360.15103961</v>
      </c>
      <c r="P9" s="9">
        <f>+P10+P11</f>
        <v>385.69629868999999</v>
      </c>
      <c r="Q9" s="9">
        <f t="shared" si="1"/>
        <v>383.05666324999999</v>
      </c>
      <c r="R9" s="9">
        <f t="shared" si="1"/>
        <v>390.46938418000002</v>
      </c>
      <c r="S9" s="9">
        <f t="shared" si="1"/>
        <v>361.71204583999997</v>
      </c>
      <c r="T9" s="9">
        <f t="shared" si="1"/>
        <v>352.06973197216138</v>
      </c>
      <c r="U9" s="9">
        <f t="shared" si="1"/>
        <v>342.61029194000002</v>
      </c>
      <c r="V9" s="9">
        <f t="shared" si="1"/>
        <v>326.51433945999997</v>
      </c>
      <c r="W9" s="9">
        <f t="shared" si="1"/>
        <v>344.00239963000001</v>
      </c>
      <c r="X9" s="9">
        <f t="shared" si="1"/>
        <v>335.74076198907102</v>
      </c>
      <c r="Y9" s="9">
        <f t="shared" si="1"/>
        <v>335.58527098945598</v>
      </c>
      <c r="Z9" s="9">
        <f t="shared" si="1"/>
        <v>372.16881775544198</v>
      </c>
      <c r="AA9" s="9">
        <f t="shared" si="1"/>
        <v>357.07761227968302</v>
      </c>
      <c r="AB9" s="9">
        <f>SUM(AB10:AB11)</f>
        <v>374.91242898228433</v>
      </c>
      <c r="AC9" s="9">
        <f>SUM(AC10:AC11)</f>
        <v>416.83105583738285</v>
      </c>
      <c r="AD9" s="73">
        <f>SUM(AD10:AD11)</f>
        <v>513.95137935606238</v>
      </c>
      <c r="AE9" s="73">
        <v>488.1792009022243</v>
      </c>
      <c r="AF9" s="73">
        <f>+AF10+AF11</f>
        <v>555.05677058927199</v>
      </c>
      <c r="AG9" s="73">
        <v>554.58970457266503</v>
      </c>
      <c r="AH9" s="73">
        <v>546.00599498124291</v>
      </c>
      <c r="AI9" s="73">
        <v>493.77969459469466</v>
      </c>
      <c r="AJ9" s="73">
        <v>409.24974269240329</v>
      </c>
      <c r="AK9" s="73">
        <v>382.02302971600795</v>
      </c>
      <c r="AL9" s="73">
        <f>+AL10+AL11</f>
        <v>425.52260173931501</v>
      </c>
    </row>
    <row r="10" spans="1:40">
      <c r="A10" s="1">
        <v>5</v>
      </c>
      <c r="B10" s="4" t="s">
        <v>142</v>
      </c>
      <c r="C10" s="74">
        <f t="shared" ref="C10:C46" si="2">HLOOKUP($C$6,$H$6:$BW$46,$G10,FALSE)</f>
        <v>530.27113609000014</v>
      </c>
      <c r="D10" s="74">
        <f t="shared" ref="D10:D46" si="3">HLOOKUP($D$6,$H$6:$BW$46,$G10,FALSE)</f>
        <v>409.62260173931503</v>
      </c>
      <c r="E10" s="35">
        <f t="shared" ref="E10" si="4">+D10/C10-1</f>
        <v>-0.22752234873709598</v>
      </c>
      <c r="G10" s="56">
        <f t="shared" si="0"/>
        <v>5</v>
      </c>
      <c r="H10" s="4" t="s">
        <v>142</v>
      </c>
      <c r="I10" s="62">
        <v>375.70760791999999</v>
      </c>
      <c r="J10" s="62">
        <v>387.07254207000005</v>
      </c>
      <c r="K10" s="62">
        <v>377.56387881999996</v>
      </c>
      <c r="L10" s="62">
        <v>383.95966881999999</v>
      </c>
      <c r="M10" s="62">
        <v>399.36714494</v>
      </c>
      <c r="N10" s="62">
        <v>394.71491316000004</v>
      </c>
      <c r="O10" s="62">
        <f>360.15103961-O11</f>
        <v>353.20982264000003</v>
      </c>
      <c r="P10" s="62">
        <v>378.41628665000002</v>
      </c>
      <c r="Q10" s="62">
        <v>375.03835251999999</v>
      </c>
      <c r="R10" s="62">
        <v>381.06003191000002</v>
      </c>
      <c r="S10" s="62">
        <v>352.25140654999996</v>
      </c>
      <c r="T10" s="62">
        <v>340.84477436216139</v>
      </c>
      <c r="U10" s="62">
        <v>336.26742267000003</v>
      </c>
      <c r="V10" s="62">
        <v>318.16888381999996</v>
      </c>
      <c r="W10" s="62">
        <v>339.68414925000002</v>
      </c>
      <c r="X10" s="62">
        <v>329.10525194999997</v>
      </c>
      <c r="Y10" s="62">
        <v>327.88627881999986</v>
      </c>
      <c r="Z10" s="62">
        <v>362.26222753999991</v>
      </c>
      <c r="AA10" s="62">
        <v>338.07808542000032</v>
      </c>
      <c r="AB10" s="62">
        <v>368.41671285999996</v>
      </c>
      <c r="AC10" s="62">
        <v>404.13782836000001</v>
      </c>
      <c r="AD10" s="74">
        <v>503.74487557000009</v>
      </c>
      <c r="AE10" s="74">
        <v>476.91959276999989</v>
      </c>
      <c r="AF10" s="74">
        <v>548.08563891000051</v>
      </c>
      <c r="AG10" s="74">
        <v>536.95393946000002</v>
      </c>
      <c r="AH10" s="74">
        <v>530.27113609000014</v>
      </c>
      <c r="AI10" s="74">
        <v>469.46775133999995</v>
      </c>
      <c r="AJ10" s="74">
        <v>395.8</v>
      </c>
      <c r="AK10" s="74">
        <v>343.5</v>
      </c>
      <c r="AL10" s="74">
        <v>409.62260173931503</v>
      </c>
      <c r="AN10" s="50"/>
    </row>
    <row r="11" spans="1:40">
      <c r="A11" s="1">
        <v>6</v>
      </c>
      <c r="B11" s="5" t="s">
        <v>143</v>
      </c>
      <c r="C11" s="78">
        <f t="shared" si="2"/>
        <v>15.734858891242805</v>
      </c>
      <c r="D11" s="78">
        <f t="shared" si="3"/>
        <v>15.9</v>
      </c>
      <c r="E11" s="47" t="s">
        <v>131</v>
      </c>
      <c r="G11" s="56">
        <f t="shared" si="0"/>
        <v>6</v>
      </c>
      <c r="H11" s="5" t="s">
        <v>143</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C11" s="7">
        <v>12.693227477382838</v>
      </c>
      <c r="AD11" s="78">
        <v>10.206503786062314</v>
      </c>
      <c r="AE11" s="78">
        <v>11.259608132224447</v>
      </c>
      <c r="AF11" s="78">
        <v>6.971131679271501</v>
      </c>
      <c r="AG11" s="78">
        <v>17.6357651126646</v>
      </c>
      <c r="AH11" s="78">
        <v>15.734858891242805</v>
      </c>
      <c r="AI11" s="78">
        <v>24.311943254694487</v>
      </c>
      <c r="AJ11" s="78">
        <v>13.430127822403218</v>
      </c>
      <c r="AK11" s="78">
        <v>38.544385296007974</v>
      </c>
      <c r="AL11" s="78">
        <v>15.9</v>
      </c>
      <c r="AN11" s="52"/>
    </row>
    <row r="12" spans="1:40" ht="5.25" customHeight="1">
      <c r="A12" s="1">
        <v>7</v>
      </c>
      <c r="C12" s="75"/>
      <c r="D12" s="75"/>
      <c r="E12" s="38"/>
      <c r="G12" s="56">
        <f t="shared" si="0"/>
        <v>7</v>
      </c>
      <c r="AD12" s="75"/>
      <c r="AE12" s="75"/>
      <c r="AF12" s="75"/>
      <c r="AG12" s="75"/>
      <c r="AH12" s="75"/>
      <c r="AI12" s="75"/>
      <c r="AJ12" s="75"/>
      <c r="AK12" s="75"/>
      <c r="AL12" s="75"/>
    </row>
    <row r="13" spans="1:40">
      <c r="A13" s="1">
        <v>8</v>
      </c>
      <c r="B13" s="6" t="s">
        <v>144</v>
      </c>
      <c r="C13" s="73">
        <f t="shared" si="2"/>
        <v>-370.00231048850736</v>
      </c>
      <c r="D13" s="73">
        <f t="shared" si="3"/>
        <v>-233.4</v>
      </c>
      <c r="E13" s="37">
        <f>D13/C13-1</f>
        <v>-0.36919312830277684</v>
      </c>
      <c r="G13" s="56">
        <f t="shared" si="0"/>
        <v>8</v>
      </c>
      <c r="H13" s="6" t="s">
        <v>144</v>
      </c>
      <c r="I13" s="9">
        <f t="shared" ref="I13:AF13" si="5">SUM(I14:I19)</f>
        <v>-201.61834733999999</v>
      </c>
      <c r="J13" s="9">
        <f t="shared" si="5"/>
        <v>-209.72360940999999</v>
      </c>
      <c r="K13" s="9">
        <f t="shared" si="5"/>
        <v>-182.83798649000002</v>
      </c>
      <c r="L13" s="9">
        <f t="shared" si="5"/>
        <v>-161.49980806000002</v>
      </c>
      <c r="M13" s="9">
        <f t="shared" si="5"/>
        <v>-214.61205498000001</v>
      </c>
      <c r="N13" s="9">
        <f t="shared" si="5"/>
        <v>-218.94480712000001</v>
      </c>
      <c r="O13" s="9">
        <f t="shared" si="5"/>
        <v>-176.48669952</v>
      </c>
      <c r="P13" s="9">
        <f t="shared" si="5"/>
        <v>-145.51666410999999</v>
      </c>
      <c r="Q13" s="9">
        <f t="shared" si="5"/>
        <v>-197.76414062000003</v>
      </c>
      <c r="R13" s="9">
        <f t="shared" si="5"/>
        <v>-191.37367252999999</v>
      </c>
      <c r="S13" s="9">
        <f t="shared" si="5"/>
        <v>-160.20363063999997</v>
      </c>
      <c r="T13" s="9">
        <f t="shared" si="5"/>
        <v>-142.64274646084766</v>
      </c>
      <c r="U13" s="9">
        <f t="shared" si="5"/>
        <v>-144.02327721</v>
      </c>
      <c r="V13" s="9">
        <f t="shared" si="5"/>
        <v>-144.97976937000001</v>
      </c>
      <c r="W13" s="9">
        <f t="shared" si="5"/>
        <v>-141.80259100999999</v>
      </c>
      <c r="X13" s="9">
        <f t="shared" si="5"/>
        <v>-123.59622957000001</v>
      </c>
      <c r="Y13" s="9">
        <f t="shared" si="5"/>
        <v>-163.24753229999999</v>
      </c>
      <c r="Z13" s="9">
        <f t="shared" si="5"/>
        <v>-189.50218863124448</v>
      </c>
      <c r="AA13" s="9">
        <f t="shared" si="5"/>
        <v>-253.26415183148549</v>
      </c>
      <c r="AB13" s="9">
        <f t="shared" si="5"/>
        <v>-175.95883669</v>
      </c>
      <c r="AC13" s="9">
        <f t="shared" si="5"/>
        <v>-237.66753002999999</v>
      </c>
      <c r="AD13" s="73">
        <f t="shared" si="5"/>
        <v>-326.46387163163115</v>
      </c>
      <c r="AE13" s="73">
        <f t="shared" si="5"/>
        <v>-248.62596084999961</v>
      </c>
      <c r="AF13" s="73">
        <f t="shared" si="5"/>
        <v>-256.67572530163108</v>
      </c>
      <c r="AG13" s="73">
        <v>-323.60366723210336</v>
      </c>
      <c r="AH13" s="73">
        <v>-370.00231048850736</v>
      </c>
      <c r="AI13" s="73">
        <v>-228.49979299767796</v>
      </c>
      <c r="AJ13" s="73">
        <v>-208.03253989325097</v>
      </c>
      <c r="AK13" s="73">
        <v>-196.42901586754701</v>
      </c>
      <c r="AL13" s="73">
        <f>+SUM(AL14:AL19)</f>
        <v>-233.4</v>
      </c>
    </row>
    <row r="14" spans="1:40">
      <c r="A14" s="1">
        <v>9</v>
      </c>
      <c r="B14" s="5" t="s">
        <v>145</v>
      </c>
      <c r="C14" s="76">
        <f t="shared" si="2"/>
        <v>-41.919932799999991</v>
      </c>
      <c r="D14" s="76">
        <f t="shared" si="3"/>
        <v>-35.5</v>
      </c>
      <c r="E14" s="35">
        <f>+D14/C14-1</f>
        <v>-0.15314749741201861</v>
      </c>
      <c r="G14" s="56">
        <f t="shared" si="0"/>
        <v>9</v>
      </c>
      <c r="H14" s="5" t="s">
        <v>145</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c r="AD14" s="76">
        <v>-36.782159120000003</v>
      </c>
      <c r="AE14" s="76">
        <v>-31.631071659999989</v>
      </c>
      <c r="AF14" s="76">
        <v>-34.650141210000029</v>
      </c>
      <c r="AG14" s="76">
        <v>-38.440342030000004</v>
      </c>
      <c r="AH14" s="76">
        <v>-41.919932799999991</v>
      </c>
      <c r="AI14" s="76">
        <v>-30.538348980000031</v>
      </c>
      <c r="AJ14" s="76">
        <v>-29.637286639999957</v>
      </c>
      <c r="AK14" s="76">
        <v>-34.153910349999997</v>
      </c>
      <c r="AL14" s="76">
        <v>-35.5</v>
      </c>
    </row>
    <row r="15" spans="1:40">
      <c r="A15" s="1">
        <v>10</v>
      </c>
      <c r="B15" s="5" t="s">
        <v>146</v>
      </c>
      <c r="C15" s="76">
        <f t="shared" si="2"/>
        <v>-72.982813530000016</v>
      </c>
      <c r="D15" s="76">
        <f t="shared" si="3"/>
        <v>-20.6</v>
      </c>
      <c r="E15" s="36">
        <f t="shared" ref="E15:E19" si="6">+D15/C15-1</f>
        <v>-0.7177417668129189</v>
      </c>
      <c r="G15" s="56">
        <f t="shared" si="0"/>
        <v>10</v>
      </c>
      <c r="H15" s="5" t="s">
        <v>146</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c r="AD15" s="76">
        <v>-40.373698689999998</v>
      </c>
      <c r="AE15" s="76">
        <v>-37.324889650000003</v>
      </c>
      <c r="AF15" s="76">
        <v>-37.634012129999988</v>
      </c>
      <c r="AG15" s="76">
        <v>-32.855387869999994</v>
      </c>
      <c r="AH15" s="76">
        <v>-72.982813530000016</v>
      </c>
      <c r="AI15" s="76">
        <v>-66.236618530000015</v>
      </c>
      <c r="AJ15" s="76">
        <v>-50.984763069999957</v>
      </c>
      <c r="AK15" s="76">
        <v>-10.784789839999998</v>
      </c>
      <c r="AL15" s="76">
        <v>-20.6</v>
      </c>
    </row>
    <row r="16" spans="1:40">
      <c r="A16" s="1">
        <v>11</v>
      </c>
      <c r="B16" s="5" t="s">
        <v>147</v>
      </c>
      <c r="C16" s="76">
        <f t="shared" si="2"/>
        <v>-163.91900953999996</v>
      </c>
      <c r="D16" s="76">
        <f t="shared" si="3"/>
        <v>-124.4</v>
      </c>
      <c r="E16" s="36">
        <f t="shared" si="6"/>
        <v>-0.24108863060422792</v>
      </c>
      <c r="G16" s="56">
        <f t="shared" si="0"/>
        <v>11</v>
      </c>
      <c r="H16" s="5" t="s">
        <v>147</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76">
        <v>-150.17607264000003</v>
      </c>
      <c r="AE16" s="76">
        <v>-115.32812763999988</v>
      </c>
      <c r="AF16" s="76">
        <v>-135.2557122500001</v>
      </c>
      <c r="AG16" s="76">
        <v>-178.62920137</v>
      </c>
      <c r="AH16" s="76">
        <v>-163.91900953999996</v>
      </c>
      <c r="AI16" s="76">
        <v>-77.22432807000007</v>
      </c>
      <c r="AJ16" s="76">
        <v>-79.244384589999953</v>
      </c>
      <c r="AK16" s="76">
        <v>-94.007109159999999</v>
      </c>
      <c r="AL16" s="76">
        <v>-124.4</v>
      </c>
    </row>
    <row r="17" spans="1:38">
      <c r="A17" s="1">
        <v>12</v>
      </c>
      <c r="B17" s="5" t="s">
        <v>148</v>
      </c>
      <c r="C17" s="76">
        <f t="shared" si="2"/>
        <v>-8.7086812399999971</v>
      </c>
      <c r="D17" s="76">
        <f t="shared" si="3"/>
        <v>-2.8</v>
      </c>
      <c r="E17" s="36">
        <f t="shared" si="6"/>
        <v>-0.67848174449889487</v>
      </c>
      <c r="G17" s="56">
        <f t="shared" si="0"/>
        <v>12</v>
      </c>
      <c r="H17" s="5" t="s">
        <v>148</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c r="AD17" s="76">
        <v>-50.793224300000006</v>
      </c>
      <c r="AE17" s="76">
        <v>-7.2131222800000003</v>
      </c>
      <c r="AF17" s="76">
        <v>-5.3518450999999914</v>
      </c>
      <c r="AG17" s="76">
        <v>-7.3668896100000003</v>
      </c>
      <c r="AH17" s="76">
        <v>-8.7086812399999971</v>
      </c>
      <c r="AI17" s="76">
        <v>-4.2798112499999981</v>
      </c>
      <c r="AJ17" s="76">
        <v>-1.171573740000003</v>
      </c>
      <c r="AK17" s="76">
        <v>-0.97015418999999992</v>
      </c>
      <c r="AL17" s="76">
        <v>-2.8</v>
      </c>
    </row>
    <row r="18" spans="1:38">
      <c r="A18" s="1">
        <v>13</v>
      </c>
      <c r="B18" s="5" t="s">
        <v>149</v>
      </c>
      <c r="C18" s="76">
        <f t="shared" si="2"/>
        <v>-55.675935639999999</v>
      </c>
      <c r="D18" s="76">
        <f t="shared" si="3"/>
        <v>-27.6</v>
      </c>
      <c r="E18" s="36">
        <f t="shared" si="6"/>
        <v>-0.50427415933409181</v>
      </c>
      <c r="G18" s="56">
        <f t="shared" si="0"/>
        <v>13</v>
      </c>
      <c r="H18" s="5" t="s">
        <v>149</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c r="AD18" s="76">
        <v>-31.993431799999996</v>
      </c>
      <c r="AE18" s="76">
        <v>-41.567252299999993</v>
      </c>
      <c r="AF18" s="76">
        <v>-21.827071390000015</v>
      </c>
      <c r="AG18" s="76">
        <v>-45.669600989999999</v>
      </c>
      <c r="AH18" s="76">
        <v>-55.675935639999999</v>
      </c>
      <c r="AI18" s="76">
        <v>-22.305689220000012</v>
      </c>
      <c r="AJ18" s="76">
        <v>-19.688287360000004</v>
      </c>
      <c r="AK18" s="76">
        <v>-33.493438950000005</v>
      </c>
      <c r="AL18" s="76">
        <v>-27.6</v>
      </c>
    </row>
    <row r="19" spans="1:38">
      <c r="A19" s="1">
        <v>14</v>
      </c>
      <c r="B19" s="5" t="s">
        <v>150</v>
      </c>
      <c r="C19" s="76">
        <f t="shared" si="2"/>
        <v>-27.235634568507471</v>
      </c>
      <c r="D19" s="76">
        <f t="shared" si="3"/>
        <v>-22.5</v>
      </c>
      <c r="E19" s="36">
        <f t="shared" si="6"/>
        <v>-0.17387641755126493</v>
      </c>
      <c r="G19" s="56">
        <f t="shared" si="0"/>
        <v>14</v>
      </c>
      <c r="H19" s="5" t="s">
        <v>150</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c r="AC19" s="8">
        <v>-15.109327309999999</v>
      </c>
      <c r="AD19" s="76">
        <v>-16.34528508163109</v>
      </c>
      <c r="AE19" s="76">
        <v>-15.561497319999788</v>
      </c>
      <c r="AF19" s="76">
        <v>-21.956943221630951</v>
      </c>
      <c r="AG19" s="76">
        <v>-20.642245362103388</v>
      </c>
      <c r="AH19" s="76">
        <v>-27.235634568507471</v>
      </c>
      <c r="AI19" s="76">
        <v>-27.914996947677867</v>
      </c>
      <c r="AJ19" s="76">
        <v>-27.306244493251082</v>
      </c>
      <c r="AK19" s="76">
        <v>-23.019613377547007</v>
      </c>
      <c r="AL19" s="76">
        <v>-22.5</v>
      </c>
    </row>
    <row r="20" spans="1:38" ht="5.25" customHeight="1">
      <c r="A20" s="1">
        <v>15</v>
      </c>
      <c r="E20" s="38"/>
      <c r="G20" s="56">
        <f t="shared" si="0"/>
        <v>15</v>
      </c>
    </row>
    <row r="21" spans="1:38">
      <c r="A21" s="1">
        <v>16</v>
      </c>
      <c r="B21" s="6" t="s">
        <v>151</v>
      </c>
      <c r="C21" s="9">
        <f t="shared" si="2"/>
        <v>176.00368449273554</v>
      </c>
      <c r="D21" s="9">
        <f t="shared" si="3"/>
        <v>192.122601739315</v>
      </c>
      <c r="E21" s="37">
        <f>D21/C21-1</f>
        <v>9.1582839831087393E-2</v>
      </c>
      <c r="G21" s="56">
        <f t="shared" si="0"/>
        <v>16</v>
      </c>
      <c r="H21" s="6" t="s">
        <v>151</v>
      </c>
      <c r="I21" s="9">
        <f t="shared" ref="I21:AB21" si="7">I9+I13</f>
        <v>180.42517725000002</v>
      </c>
      <c r="J21" s="9">
        <f t="shared" si="7"/>
        <v>183.80182912000004</v>
      </c>
      <c r="K21" s="9">
        <f t="shared" si="7"/>
        <v>201.17643882999991</v>
      </c>
      <c r="L21" s="9">
        <f t="shared" si="7"/>
        <v>227.32883830999998</v>
      </c>
      <c r="M21" s="9">
        <f t="shared" si="7"/>
        <v>192.00614295</v>
      </c>
      <c r="N21" s="9">
        <f t="shared" si="7"/>
        <v>181.85514917</v>
      </c>
      <c r="O21" s="9">
        <f t="shared" si="7"/>
        <v>183.66434009</v>
      </c>
      <c r="P21" s="9">
        <f t="shared" si="7"/>
        <v>240.17963458</v>
      </c>
      <c r="Q21" s="9">
        <f t="shared" si="7"/>
        <v>185.29252262999995</v>
      </c>
      <c r="R21" s="9">
        <f t="shared" si="7"/>
        <v>199.09571165000003</v>
      </c>
      <c r="S21" s="9">
        <f t="shared" si="7"/>
        <v>201.5084152</v>
      </c>
      <c r="T21" s="9">
        <f t="shared" si="7"/>
        <v>209.42698551131372</v>
      </c>
      <c r="U21" s="9">
        <f t="shared" si="7"/>
        <v>198.58701473000002</v>
      </c>
      <c r="V21" s="9">
        <f t="shared" si="7"/>
        <v>181.53457008999996</v>
      </c>
      <c r="W21" s="9">
        <f t="shared" si="7"/>
        <v>202.19980862000003</v>
      </c>
      <c r="X21" s="9">
        <f t="shared" si="7"/>
        <v>212.14453241907103</v>
      </c>
      <c r="Y21" s="9">
        <f t="shared" si="7"/>
        <v>172.33773868945599</v>
      </c>
      <c r="Z21" s="9">
        <f t="shared" si="7"/>
        <v>182.6666291241975</v>
      </c>
      <c r="AA21" s="9">
        <f t="shared" si="7"/>
        <v>103.81346044819753</v>
      </c>
      <c r="AB21" s="9">
        <f t="shared" si="7"/>
        <v>198.95359229228433</v>
      </c>
      <c r="AC21" s="9">
        <f>AC9+AC13</f>
        <v>179.16352580738285</v>
      </c>
      <c r="AD21" s="9">
        <f t="shared" ref="AD21:AI21" si="8">AD9+AD13</f>
        <v>187.48750772443123</v>
      </c>
      <c r="AE21" s="9">
        <f t="shared" si="8"/>
        <v>239.55324005222468</v>
      </c>
      <c r="AF21" s="9">
        <f t="shared" si="8"/>
        <v>298.38104528764092</v>
      </c>
      <c r="AG21" s="9">
        <f t="shared" si="8"/>
        <v>230.98603734056167</v>
      </c>
      <c r="AH21" s="9">
        <f t="shared" si="8"/>
        <v>176.00368449273554</v>
      </c>
      <c r="AI21" s="9">
        <f t="shared" si="8"/>
        <v>265.2799015970167</v>
      </c>
      <c r="AJ21" s="9">
        <v>201.21720279915232</v>
      </c>
      <c r="AK21" s="9">
        <v>185.59401384846095</v>
      </c>
      <c r="AL21" s="9">
        <f>+AL9+AL13</f>
        <v>192.122601739315</v>
      </c>
    </row>
    <row r="22" spans="1:38" ht="5.25" customHeight="1">
      <c r="A22" s="1">
        <v>17</v>
      </c>
      <c r="E22" s="38"/>
      <c r="G22" s="56">
        <f t="shared" si="0"/>
        <v>17</v>
      </c>
    </row>
    <row r="23" spans="1:38">
      <c r="A23" s="1">
        <v>18</v>
      </c>
      <c r="B23" s="5" t="s">
        <v>152</v>
      </c>
      <c r="C23" s="76">
        <f t="shared" si="2"/>
        <v>-23.362683803273899</v>
      </c>
      <c r="D23" s="76">
        <f t="shared" si="3"/>
        <v>-23.066342836885912</v>
      </c>
      <c r="E23" s="35">
        <f>+D23/C23-1</f>
        <v>-1.2684371747840872E-2</v>
      </c>
      <c r="G23" s="56">
        <f t="shared" si="0"/>
        <v>18</v>
      </c>
      <c r="H23" s="5" t="s">
        <v>152</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c r="AD23" s="76">
        <v>-21.183490919894481</v>
      </c>
      <c r="AE23" s="76">
        <v>-20.735013258669198</v>
      </c>
      <c r="AF23" s="76">
        <v>-21.867187204425903</v>
      </c>
      <c r="AG23" s="76">
        <v>-22.214295176369102</v>
      </c>
      <c r="AH23" s="76">
        <v>-23.362683803273899</v>
      </c>
      <c r="AI23" s="76">
        <v>-23.810750728135329</v>
      </c>
      <c r="AJ23" s="76">
        <v>-22.412236887902981</v>
      </c>
      <c r="AK23" s="76">
        <v>-21.269593603994846</v>
      </c>
      <c r="AL23" s="76">
        <v>-23.066342836885912</v>
      </c>
    </row>
    <row r="24" spans="1:38">
      <c r="A24" s="1">
        <v>19</v>
      </c>
      <c r="B24" s="5" t="s">
        <v>153</v>
      </c>
      <c r="C24" s="76">
        <f t="shared" si="2"/>
        <v>-17.84276506774308</v>
      </c>
      <c r="D24" s="76">
        <f t="shared" si="3"/>
        <v>-16.534317547918839</v>
      </c>
      <c r="E24" s="35">
        <f>+D24/C24-1</f>
        <v>-7.3332104909552887E-2</v>
      </c>
      <c r="G24" s="56">
        <f t="shared" si="0"/>
        <v>19</v>
      </c>
      <c r="H24" s="5" t="s">
        <v>153</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c r="AD24" s="76">
        <v>-13.441127820000059</v>
      </c>
      <c r="AE24" s="76">
        <v>-13.673123019999959</v>
      </c>
      <c r="AF24" s="76">
        <v>-16.762059948368872</v>
      </c>
      <c r="AG24" s="76">
        <v>-16.607401639999985</v>
      </c>
      <c r="AH24" s="76">
        <v>-17.84276506774308</v>
      </c>
      <c r="AI24" s="76">
        <v>-15.310860021401922</v>
      </c>
      <c r="AJ24" s="76">
        <v>-17.964501218992371</v>
      </c>
      <c r="AK24" s="76">
        <v>-16.862101925413924</v>
      </c>
      <c r="AL24" s="76">
        <v>-16.534317547918839</v>
      </c>
    </row>
    <row r="25" spans="1:38">
      <c r="A25" s="1">
        <v>20</v>
      </c>
      <c r="B25" s="5" t="s">
        <v>154</v>
      </c>
      <c r="C25" s="76">
        <f t="shared" si="2"/>
        <v>-50.337763983271351</v>
      </c>
      <c r="D25" s="76">
        <f t="shared" si="3"/>
        <v>-51.630923461265709</v>
      </c>
      <c r="E25" s="35">
        <f t="shared" ref="E25" si="9">+D25/C25-1</f>
        <v>2.5689648797751818E-2</v>
      </c>
      <c r="G25" s="56">
        <f t="shared" si="0"/>
        <v>20</v>
      </c>
      <c r="H25" s="5" t="s">
        <v>154</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c r="AD25" s="76">
        <v>-55.281998485673071</v>
      </c>
      <c r="AE25" s="76">
        <v>-54.018260034138393</v>
      </c>
      <c r="AF25" s="76">
        <v>-57.392497615271211</v>
      </c>
      <c r="AG25" s="76">
        <v>-50.573471804234366</v>
      </c>
      <c r="AH25" s="76">
        <v>-50.337763983271351</v>
      </c>
      <c r="AI25" s="76">
        <v>-49.882055320398415</v>
      </c>
      <c r="AJ25" s="76">
        <v>-55.087872643454496</v>
      </c>
      <c r="AK25" s="76">
        <v>-50.939496457200093</v>
      </c>
      <c r="AL25" s="76">
        <v>-51.630923461265709</v>
      </c>
    </row>
    <row r="26" spans="1:38" ht="5.25" customHeight="1">
      <c r="A26" s="1">
        <v>21</v>
      </c>
      <c r="E26" s="38"/>
      <c r="G26" s="56">
        <f t="shared" si="0"/>
        <v>21</v>
      </c>
    </row>
    <row r="27" spans="1:38">
      <c r="A27" s="1">
        <v>22</v>
      </c>
      <c r="B27" s="6" t="s">
        <v>155</v>
      </c>
      <c r="C27" s="9">
        <f t="shared" si="2"/>
        <v>84.460471638447217</v>
      </c>
      <c r="D27" s="9">
        <f t="shared" si="3"/>
        <v>100.89101789324454</v>
      </c>
      <c r="E27" s="37">
        <f>D27/C27-1</f>
        <v>0.1945353363065756</v>
      </c>
      <c r="G27" s="56">
        <f t="shared" si="0"/>
        <v>22</v>
      </c>
      <c r="H27" s="6" t="s">
        <v>155</v>
      </c>
      <c r="I27" s="9">
        <f t="shared" ref="I27:AB27" si="10">I25+I24+I23+I21</f>
        <v>95.228464370000012</v>
      </c>
      <c r="J27" s="9">
        <f t="shared" si="10"/>
        <v>98.105426650000027</v>
      </c>
      <c r="K27" s="9">
        <f t="shared" si="10"/>
        <v>114.49318724999991</v>
      </c>
      <c r="L27" s="9">
        <f t="shared" si="10"/>
        <v>160.81527597999997</v>
      </c>
      <c r="M27" s="9">
        <f t="shared" si="10"/>
        <v>104.95895720999999</v>
      </c>
      <c r="N27" s="9">
        <f t="shared" si="10"/>
        <v>95.177728439999996</v>
      </c>
      <c r="O27" s="9">
        <f t="shared" si="10"/>
        <v>96.846453629999999</v>
      </c>
      <c r="P27" s="9">
        <f t="shared" si="10"/>
        <v>150.14625531999999</v>
      </c>
      <c r="Q27" s="9">
        <f t="shared" si="10"/>
        <v>101.55787685999995</v>
      </c>
      <c r="R27" s="9">
        <f t="shared" si="10"/>
        <v>107.79504349000003</v>
      </c>
      <c r="S27" s="9">
        <f t="shared" si="10"/>
        <v>114.86247155000001</v>
      </c>
      <c r="T27" s="9">
        <f t="shared" si="10"/>
        <v>122.25991159131371</v>
      </c>
      <c r="U27" s="9">
        <f t="shared" si="10"/>
        <v>111.77414360000003</v>
      </c>
      <c r="V27" s="9">
        <f t="shared" si="10"/>
        <v>94.280945699999961</v>
      </c>
      <c r="W27" s="9">
        <f t="shared" si="10"/>
        <v>112.88332715000003</v>
      </c>
      <c r="X27" s="9">
        <f t="shared" si="10"/>
        <v>116.98639696786805</v>
      </c>
      <c r="Y27" s="9">
        <f>Y25+Y24+Y23+Y21</f>
        <v>81.928218009471976</v>
      </c>
      <c r="Z27" s="9">
        <f t="shared" si="10"/>
        <v>94.606332352696029</v>
      </c>
      <c r="AA27" s="9">
        <f t="shared" si="10"/>
        <v>18.88394693551561</v>
      </c>
      <c r="AB27" s="9">
        <f t="shared" si="10"/>
        <v>111.61593706577845</v>
      </c>
      <c r="AC27" s="9">
        <f>AC25+AC24+AC23+AC21</f>
        <v>92.770078490742222</v>
      </c>
      <c r="AD27" s="9">
        <f t="shared" ref="AD27:AI27" si="11">AD25+AD24+AD23+AD21</f>
        <v>97.58089049886361</v>
      </c>
      <c r="AE27" s="9">
        <f t="shared" si="11"/>
        <v>151.12684373941713</v>
      </c>
      <c r="AF27" s="9">
        <f t="shared" si="11"/>
        <v>202.35930051957493</v>
      </c>
      <c r="AG27" s="9">
        <f t="shared" si="11"/>
        <v>141.59086871995822</v>
      </c>
      <c r="AH27" s="9">
        <f t="shared" si="11"/>
        <v>84.460471638447217</v>
      </c>
      <c r="AI27" s="9">
        <f t="shared" si="11"/>
        <v>176.27623552708104</v>
      </c>
      <c r="AJ27" s="9">
        <v>105.7</v>
      </c>
      <c r="AK27" s="9">
        <v>96.52282186185208</v>
      </c>
      <c r="AL27" s="9">
        <f>+AL21+SUM(AL23:AL25)</f>
        <v>100.89101789324454</v>
      </c>
    </row>
    <row r="28" spans="1:38" ht="5.25" customHeight="1">
      <c r="A28" s="1">
        <v>23</v>
      </c>
      <c r="C28" s="46">
        <f t="shared" si="2"/>
        <v>0</v>
      </c>
      <c r="D28" s="46">
        <f t="shared" si="3"/>
        <v>0</v>
      </c>
      <c r="E28" s="38"/>
      <c r="G28" s="56">
        <f t="shared" si="0"/>
        <v>23</v>
      </c>
      <c r="I28" s="46"/>
      <c r="K28" s="46"/>
      <c r="M28" s="46"/>
      <c r="O28" s="46"/>
      <c r="Q28" s="46"/>
      <c r="R28" s="46"/>
      <c r="S28" s="46"/>
      <c r="T28" s="46"/>
      <c r="U28" s="46"/>
      <c r="V28" s="46"/>
      <c r="W28" s="46"/>
      <c r="X28" s="46"/>
      <c r="Y28" s="46"/>
      <c r="Z28" s="46"/>
      <c r="AA28" s="46"/>
      <c r="AB28" s="46"/>
      <c r="AC28" s="46"/>
      <c r="AD28" s="46"/>
      <c r="AE28" s="46"/>
      <c r="AF28" s="46"/>
      <c r="AG28" s="46"/>
      <c r="AH28" s="46"/>
      <c r="AI28" s="46"/>
      <c r="AJ28" s="46"/>
      <c r="AK28" s="46"/>
      <c r="AL28" s="46"/>
    </row>
    <row r="29" spans="1:38">
      <c r="A29" s="1">
        <v>24</v>
      </c>
      <c r="B29" s="6" t="s">
        <v>156</v>
      </c>
      <c r="C29" s="9">
        <f t="shared" si="2"/>
        <v>134.79823562171856</v>
      </c>
      <c r="D29" s="9">
        <f t="shared" si="3"/>
        <v>152.45311984102219</v>
      </c>
      <c r="E29" s="37">
        <f>D29/C29-1</f>
        <v>0.13097266546461439</v>
      </c>
      <c r="G29" s="56">
        <f t="shared" si="0"/>
        <v>24</v>
      </c>
      <c r="H29" s="6" t="s">
        <v>156</v>
      </c>
      <c r="I29" s="9">
        <f>+I21+I23+I24</f>
        <v>154.80143864000004</v>
      </c>
      <c r="J29" s="9">
        <f>+J21+J23+J24</f>
        <v>158.47682742000003</v>
      </c>
      <c r="K29" s="9">
        <f>+K21+K23+K24</f>
        <v>174.02438614999991</v>
      </c>
      <c r="L29" s="9">
        <f t="shared" ref="L29:X29" si="12">+L21+L23+L24</f>
        <v>204.82729756999998</v>
      </c>
      <c r="M29" s="9">
        <f t="shared" si="12"/>
        <v>163.57798306000001</v>
      </c>
      <c r="N29" s="9">
        <f t="shared" si="12"/>
        <v>154.00076002999998</v>
      </c>
      <c r="O29" s="9">
        <f t="shared" si="12"/>
        <v>156.33994453</v>
      </c>
      <c r="P29" s="9">
        <f t="shared" si="12"/>
        <v>210.16529512</v>
      </c>
      <c r="Q29" s="9">
        <f t="shared" si="12"/>
        <v>161.57641708999995</v>
      </c>
      <c r="R29" s="9">
        <f t="shared" si="12"/>
        <v>173.76847530000003</v>
      </c>
      <c r="S29" s="9">
        <f t="shared" si="12"/>
        <v>178.71600819</v>
      </c>
      <c r="T29" s="9">
        <f t="shared" si="12"/>
        <v>182.93678496131372</v>
      </c>
      <c r="U29" s="9">
        <f t="shared" si="12"/>
        <v>172.34723633000002</v>
      </c>
      <c r="V29" s="9">
        <f t="shared" si="12"/>
        <v>155.26443031999995</v>
      </c>
      <c r="W29" s="9">
        <f t="shared" si="12"/>
        <v>174.98602269000003</v>
      </c>
      <c r="X29" s="9">
        <f t="shared" si="12"/>
        <v>179.94179880786803</v>
      </c>
      <c r="Y29" s="9">
        <f>+Y21+Y23+Y24</f>
        <v>137.35431132242536</v>
      </c>
      <c r="Z29" s="9">
        <v>146.74054928974263</v>
      </c>
      <c r="AA29" s="9">
        <v>71.8350810880561</v>
      </c>
      <c r="AB29" s="9">
        <v>164.267167127025</v>
      </c>
      <c r="AC29" s="9">
        <f>+AC21+AC23+AC24</f>
        <v>145.59138903727734</v>
      </c>
      <c r="AD29" s="9">
        <f t="shared" ref="AD29:AF29" si="13">+AD21+AD23+AD24</f>
        <v>152.86288898453668</v>
      </c>
      <c r="AE29" s="9">
        <f t="shared" si="13"/>
        <v>205.14510377355552</v>
      </c>
      <c r="AF29" s="9">
        <f t="shared" si="13"/>
        <v>259.75179813484618</v>
      </c>
      <c r="AG29" s="9">
        <v>192.16434052419214</v>
      </c>
      <c r="AH29" s="9">
        <v>134.79823562171856</v>
      </c>
      <c r="AI29" s="9">
        <v>226.15829084747958</v>
      </c>
      <c r="AJ29" s="9">
        <v>160.78787264345451</v>
      </c>
      <c r="AK29" s="9">
        <v>147.46231831905217</v>
      </c>
      <c r="AL29" s="9">
        <v>152.45311984102219</v>
      </c>
    </row>
    <row r="30" spans="1:38" ht="5.25" customHeight="1">
      <c r="A30" s="1">
        <v>25</v>
      </c>
      <c r="E30" s="38"/>
      <c r="G30" s="56">
        <f t="shared" si="0"/>
        <v>25</v>
      </c>
    </row>
    <row r="31" spans="1:38">
      <c r="A31" s="1">
        <v>26</v>
      </c>
      <c r="B31" s="5" t="s">
        <v>157</v>
      </c>
      <c r="C31" s="76">
        <f t="shared" si="2"/>
        <v>16.451581692819204</v>
      </c>
      <c r="D31" s="76">
        <f t="shared" si="3"/>
        <v>14.1</v>
      </c>
      <c r="E31" s="35">
        <f t="shared" ref="E31:E46" si="14">+D31/C31-1</f>
        <v>-0.14293955053851293</v>
      </c>
      <c r="F31" s="32"/>
      <c r="G31" s="56">
        <f t="shared" si="0"/>
        <v>26</v>
      </c>
      <c r="H31" s="5" t="s">
        <v>157</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8">
        <v>2.5259432800000003</v>
      </c>
      <c r="AD31" s="76">
        <v>4.2250459843980348</v>
      </c>
      <c r="AE31" s="76">
        <v>7.3874657411628988</v>
      </c>
      <c r="AF31" s="76">
        <v>14.91344703571135</v>
      </c>
      <c r="AG31" s="76">
        <v>15.365280552356621</v>
      </c>
      <c r="AH31" s="76">
        <v>16.451581692819204</v>
      </c>
      <c r="AI31" s="76">
        <v>17.627596034824165</v>
      </c>
      <c r="AJ31" s="76">
        <v>18.48180084000002</v>
      </c>
      <c r="AK31" s="76">
        <v>15.29416582</v>
      </c>
      <c r="AL31" s="76">
        <v>14.1</v>
      </c>
    </row>
    <row r="32" spans="1:38">
      <c r="A32" s="1">
        <v>27</v>
      </c>
      <c r="B32" s="5" t="s">
        <v>158</v>
      </c>
      <c r="C32" s="76">
        <f t="shared" si="2"/>
        <v>-22.06252987141508</v>
      </c>
      <c r="D32" s="76">
        <f t="shared" si="3"/>
        <v>-17.600000000000001</v>
      </c>
      <c r="E32" s="35">
        <f t="shared" si="14"/>
        <v>-0.20226736903807552</v>
      </c>
      <c r="F32" s="32"/>
      <c r="G32" s="56">
        <f t="shared" si="0"/>
        <v>27</v>
      </c>
      <c r="H32" s="5" t="s">
        <v>158</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8">
        <v>-20.906411121174919</v>
      </c>
      <c r="AD32" s="76">
        <v>-20.635669950752792</v>
      </c>
      <c r="AE32" s="76">
        <v>-22.785253226507663</v>
      </c>
      <c r="AF32" s="76">
        <v>-24.395230660146005</v>
      </c>
      <c r="AG32" s="76">
        <v>-23.11978156029533</v>
      </c>
      <c r="AH32" s="76">
        <v>-22.06252987141508</v>
      </c>
      <c r="AI32" s="76">
        <v>-21.005091497896338</v>
      </c>
      <c r="AJ32" s="76">
        <v>-19.221141649354195</v>
      </c>
      <c r="AK32" s="76">
        <v>-18.378650219894105</v>
      </c>
      <c r="AL32" s="76">
        <v>-17.600000000000001</v>
      </c>
    </row>
    <row r="33" spans="1:38">
      <c r="A33" s="1">
        <v>28</v>
      </c>
      <c r="B33" s="5" t="s">
        <v>159</v>
      </c>
      <c r="C33" s="76">
        <f t="shared" si="2"/>
        <v>-3.10953099316851</v>
      </c>
      <c r="D33" s="76">
        <f t="shared" si="3"/>
        <v>-0.4</v>
      </c>
      <c r="E33" s="35">
        <f t="shared" si="14"/>
        <v>-0.87136323745324273</v>
      </c>
      <c r="F33" s="32"/>
      <c r="G33" s="56">
        <f t="shared" si="0"/>
        <v>28</v>
      </c>
      <c r="H33" s="5" t="s">
        <v>159</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8">
        <v>1.4815612706860124</v>
      </c>
      <c r="AD33" s="76">
        <v>-10.969921269768113</v>
      </c>
      <c r="AE33" s="76">
        <v>-3.4658735660401963</v>
      </c>
      <c r="AF33" s="76">
        <v>10.286615351774458</v>
      </c>
      <c r="AG33" s="76">
        <v>0.95713189204547999</v>
      </c>
      <c r="AH33" s="76">
        <v>-3.10953099316851</v>
      </c>
      <c r="AI33" s="76">
        <v>-3.990900343067572</v>
      </c>
      <c r="AJ33" s="76">
        <v>-0.51105190962980673</v>
      </c>
      <c r="AK33" s="76">
        <v>0.60277939670193192</v>
      </c>
      <c r="AL33" s="76">
        <v>-0.4</v>
      </c>
    </row>
    <row r="34" spans="1:38">
      <c r="A34" s="1">
        <v>29</v>
      </c>
      <c r="B34" s="5" t="s">
        <v>160</v>
      </c>
      <c r="C34" s="76">
        <f t="shared" si="2"/>
        <v>3.3727477199999996</v>
      </c>
      <c r="D34" s="76">
        <f t="shared" si="3"/>
        <v>3.3</v>
      </c>
      <c r="E34" s="35">
        <f t="shared" si="14"/>
        <v>-2.1569274087301027E-2</v>
      </c>
      <c r="F34" s="32"/>
      <c r="G34" s="56">
        <f t="shared" si="0"/>
        <v>29</v>
      </c>
      <c r="H34" s="5" t="s">
        <v>160</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8">
        <v>2.6146828799999997</v>
      </c>
      <c r="AD34" s="76">
        <v>2.6078981699999999</v>
      </c>
      <c r="AE34" s="76">
        <v>3.1942974499999992</v>
      </c>
      <c r="AF34" s="76">
        <v>3.7476725300000004</v>
      </c>
      <c r="AG34" s="76">
        <v>4.0273403800000001</v>
      </c>
      <c r="AH34" s="76">
        <v>3.3727477199999996</v>
      </c>
      <c r="AI34" s="76">
        <v>2.8216744500000015</v>
      </c>
      <c r="AJ34" s="76">
        <v>2.9199357299999988</v>
      </c>
      <c r="AK34" s="76">
        <v>3.0067959500000003</v>
      </c>
      <c r="AL34" s="76">
        <v>3.3</v>
      </c>
    </row>
    <row r="35" spans="1:38">
      <c r="A35" s="1">
        <v>30</v>
      </c>
      <c r="B35" s="5" t="s">
        <v>161</v>
      </c>
      <c r="C35" s="76">
        <f t="shared" si="2"/>
        <v>94.003499069502809</v>
      </c>
      <c r="D35" s="76">
        <f t="shared" si="3"/>
        <v>-11.6</v>
      </c>
      <c r="E35" s="47" t="s">
        <v>131</v>
      </c>
      <c r="F35" s="32"/>
      <c r="G35" s="56">
        <f t="shared" si="0"/>
        <v>30</v>
      </c>
      <c r="H35" s="5" t="s">
        <v>161</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76">
        <v>-16.079428069851605</v>
      </c>
      <c r="AE35" s="76">
        <v>-18.482136920774703</v>
      </c>
      <c r="AF35" s="76">
        <v>-26.896185183285258</v>
      </c>
      <c r="AG35" s="76">
        <v>-16.516771290284481</v>
      </c>
      <c r="AH35" s="76">
        <v>94.003499069502809</v>
      </c>
      <c r="AI35" s="76">
        <v>4.081765187940178</v>
      </c>
      <c r="AJ35" s="76">
        <v>-30.108468364107267</v>
      </c>
      <c r="AK35" s="76">
        <v>-17.130353635640486</v>
      </c>
      <c r="AL35" s="76">
        <v>-11.6</v>
      </c>
    </row>
    <row r="36" spans="1:38" ht="5.25" customHeight="1">
      <c r="A36" s="1">
        <v>31</v>
      </c>
      <c r="E36" s="38"/>
      <c r="G36" s="56">
        <f t="shared" si="0"/>
        <v>31</v>
      </c>
    </row>
    <row r="37" spans="1:38">
      <c r="A37" s="1">
        <v>32</v>
      </c>
      <c r="B37" s="6" t="s">
        <v>162</v>
      </c>
      <c r="C37" s="9">
        <f t="shared" si="2"/>
        <v>88.65576761773842</v>
      </c>
      <c r="D37" s="9">
        <f t="shared" si="3"/>
        <v>-12.200000000000001</v>
      </c>
      <c r="E37" s="66" t="s">
        <v>131</v>
      </c>
      <c r="F37" s="32"/>
      <c r="G37" s="56">
        <f t="shared" si="0"/>
        <v>32</v>
      </c>
      <c r="H37" s="6" t="s">
        <v>162</v>
      </c>
      <c r="I37" s="9">
        <f t="shared" ref="I37:AF37" si="15">SUM(I31:I35)</f>
        <v>-21.011590569999996</v>
      </c>
      <c r="J37" s="9">
        <f t="shared" si="15"/>
        <v>-0.89444493000000058</v>
      </c>
      <c r="K37" s="9">
        <f t="shared" si="15"/>
        <v>-19.058913140000001</v>
      </c>
      <c r="L37" s="9">
        <f t="shared" si="15"/>
        <v>-104.99515563</v>
      </c>
      <c r="M37" s="9">
        <f t="shared" si="15"/>
        <v>-16.91268376</v>
      </c>
      <c r="N37" s="9">
        <f t="shared" si="15"/>
        <v>-31.002756330000008</v>
      </c>
      <c r="O37" s="9">
        <f t="shared" si="15"/>
        <v>-20.165144160000001</v>
      </c>
      <c r="P37" s="9">
        <f t="shared" si="15"/>
        <v>-50.244271350000005</v>
      </c>
      <c r="Q37" s="9">
        <f t="shared" si="15"/>
        <v>-15.195531940000002</v>
      </c>
      <c r="R37" s="9">
        <f t="shared" si="15"/>
        <v>-27.385603370000002</v>
      </c>
      <c r="S37" s="9">
        <f t="shared" si="15"/>
        <v>-33.534353119999999</v>
      </c>
      <c r="T37" s="9">
        <f t="shared" si="15"/>
        <v>-100.25777028</v>
      </c>
      <c r="U37" s="9">
        <f t="shared" si="15"/>
        <v>-49.377285399999998</v>
      </c>
      <c r="V37" s="9">
        <f t="shared" si="15"/>
        <v>-22.110786490000002</v>
      </c>
      <c r="W37" s="9">
        <f t="shared" si="15"/>
        <v>-24.846660460000006</v>
      </c>
      <c r="X37" s="9">
        <f t="shared" si="15"/>
        <v>-207.38689343693545</v>
      </c>
      <c r="Y37" s="9">
        <f t="shared" si="15"/>
        <v>-43.865903973024921</v>
      </c>
      <c r="Z37" s="9">
        <f t="shared" si="15"/>
        <v>-40.325632815730714</v>
      </c>
      <c r="AA37" s="9">
        <f t="shared" si="15"/>
        <v>784.41152487000602</v>
      </c>
      <c r="AB37" s="9">
        <f t="shared" si="15"/>
        <v>-182.08031974939854</v>
      </c>
      <c r="AC37" s="9">
        <f t="shared" si="15"/>
        <v>-30.500634556358893</v>
      </c>
      <c r="AD37" s="9">
        <f t="shared" si="15"/>
        <v>-40.852075135974474</v>
      </c>
      <c r="AE37" s="9">
        <f t="shared" si="15"/>
        <v>-34.151500522159665</v>
      </c>
      <c r="AF37" s="9">
        <f t="shared" si="15"/>
        <v>-22.343680925945456</v>
      </c>
      <c r="AG37" s="9">
        <v>-19.286800026177708</v>
      </c>
      <c r="AH37" s="9">
        <v>88.65576761773842</v>
      </c>
      <c r="AI37" s="9">
        <v>-0.46495616983959565</v>
      </c>
      <c r="AJ37" s="9">
        <v>-28.43892535309125</v>
      </c>
      <c r="AK37" s="9">
        <v>-16.60526268883266</v>
      </c>
      <c r="AL37" s="9">
        <v>-12.200000000000001</v>
      </c>
    </row>
    <row r="38" spans="1:38" ht="5.25" customHeight="1">
      <c r="A38" s="1">
        <v>33</v>
      </c>
      <c r="E38" s="70"/>
      <c r="G38" s="56">
        <f t="shared" si="0"/>
        <v>33</v>
      </c>
    </row>
    <row r="39" spans="1:38">
      <c r="A39" s="1">
        <v>34</v>
      </c>
      <c r="B39" s="6" t="s">
        <v>163</v>
      </c>
      <c r="C39" s="9">
        <f t="shared" si="2"/>
        <v>173.11623925618562</v>
      </c>
      <c r="D39" s="9">
        <f t="shared" si="3"/>
        <v>88.6</v>
      </c>
      <c r="E39" s="66">
        <f t="shared" si="14"/>
        <v>-0.48820514828256223</v>
      </c>
      <c r="F39" s="32"/>
      <c r="G39" s="56">
        <f t="shared" si="0"/>
        <v>34</v>
      </c>
      <c r="H39" s="6" t="s">
        <v>163</v>
      </c>
      <c r="I39" s="9">
        <f t="shared" ref="I39:AF39" si="16">I37+I27</f>
        <v>74.216873800000016</v>
      </c>
      <c r="J39" s="9">
        <f t="shared" si="16"/>
        <v>97.210981720000021</v>
      </c>
      <c r="K39" s="9">
        <f t="shared" si="16"/>
        <v>95.434274109999905</v>
      </c>
      <c r="L39" s="9">
        <f t="shared" si="16"/>
        <v>55.820120349999968</v>
      </c>
      <c r="M39" s="9">
        <f t="shared" si="16"/>
        <v>88.046273450000001</v>
      </c>
      <c r="N39" s="9">
        <f t="shared" si="16"/>
        <v>64.174972109999985</v>
      </c>
      <c r="O39" s="9">
        <f t="shared" si="16"/>
        <v>76.681309470000002</v>
      </c>
      <c r="P39" s="9">
        <f t="shared" si="16"/>
        <v>99.901983969999989</v>
      </c>
      <c r="Q39" s="9">
        <f t="shared" si="16"/>
        <v>86.362344919999941</v>
      </c>
      <c r="R39" s="9">
        <f t="shared" si="16"/>
        <v>80.409440120000028</v>
      </c>
      <c r="S39" s="9">
        <f t="shared" si="16"/>
        <v>81.328118430000018</v>
      </c>
      <c r="T39" s="9">
        <f t="shared" si="16"/>
        <v>22.002141311313707</v>
      </c>
      <c r="U39" s="9">
        <f t="shared" si="16"/>
        <v>62.396858200000032</v>
      </c>
      <c r="V39" s="9">
        <f t="shared" si="16"/>
        <v>72.170159209999952</v>
      </c>
      <c r="W39" s="9">
        <f t="shared" si="16"/>
        <v>88.036666690000018</v>
      </c>
      <c r="X39" s="9">
        <f t="shared" si="16"/>
        <v>-90.400496469067406</v>
      </c>
      <c r="Y39" s="9">
        <f t="shared" si="16"/>
        <v>38.062314036447056</v>
      </c>
      <c r="Z39" s="9">
        <f t="shared" si="16"/>
        <v>54.280699536965315</v>
      </c>
      <c r="AA39" s="9">
        <f t="shared" si="16"/>
        <v>803.29547180552163</v>
      </c>
      <c r="AB39" s="9">
        <f t="shared" si="16"/>
        <v>-70.464382683620087</v>
      </c>
      <c r="AC39" s="9">
        <f t="shared" si="16"/>
        <v>62.269443934383332</v>
      </c>
      <c r="AD39" s="9">
        <f t="shared" si="16"/>
        <v>56.728815362889137</v>
      </c>
      <c r="AE39" s="9">
        <f t="shared" si="16"/>
        <v>116.97534321725746</v>
      </c>
      <c r="AF39" s="9">
        <f t="shared" si="16"/>
        <v>180.01561959362948</v>
      </c>
      <c r="AG39" s="9">
        <v>122.30406869378007</v>
      </c>
      <c r="AH39" s="9">
        <v>173.11623925618562</v>
      </c>
      <c r="AI39" s="9">
        <v>175.81127935724157</v>
      </c>
      <c r="AJ39" s="9">
        <v>77.261074646908753</v>
      </c>
      <c r="AK39" s="9">
        <v>79.917559173019413</v>
      </c>
      <c r="AL39" s="9">
        <v>88.6</v>
      </c>
    </row>
    <row r="40" spans="1:38" ht="5.25" customHeight="1">
      <c r="A40" s="1">
        <v>35</v>
      </c>
      <c r="E40" s="70"/>
      <c r="G40" s="56">
        <f t="shared" si="0"/>
        <v>35</v>
      </c>
    </row>
    <row r="41" spans="1:38">
      <c r="A41" s="1">
        <v>36</v>
      </c>
      <c r="B41" s="5" t="s">
        <v>164</v>
      </c>
      <c r="C41" s="76">
        <f t="shared" si="2"/>
        <v>-41.897685534137572</v>
      </c>
      <c r="D41" s="76">
        <f t="shared" si="3"/>
        <v>-27.2</v>
      </c>
      <c r="E41" s="47">
        <f t="shared" si="14"/>
        <v>-0.35079946175456711</v>
      </c>
      <c r="F41" s="32"/>
      <c r="G41" s="56">
        <f t="shared" si="0"/>
        <v>36</v>
      </c>
      <c r="H41" s="5" t="s">
        <v>164</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8">
        <v>-6.3894801624248103</v>
      </c>
      <c r="AD41" s="76">
        <v>-19.026564867421037</v>
      </c>
      <c r="AE41" s="76">
        <v>-36.315230687438586</v>
      </c>
      <c r="AF41" s="76">
        <v>-43.801853936794899</v>
      </c>
      <c r="AG41" s="76">
        <v>-30.363846805485231</v>
      </c>
      <c r="AH41" s="76">
        <v>-41.897685534137572</v>
      </c>
      <c r="AI41" s="76">
        <v>-51.413406697886153</v>
      </c>
      <c r="AJ41" s="76">
        <v>-21.02666435082407</v>
      </c>
      <c r="AK41" s="76">
        <v>-21.08849933620964</v>
      </c>
      <c r="AL41" s="76">
        <v>-27.2</v>
      </c>
    </row>
    <row r="42" spans="1:38" ht="6.75" customHeight="1">
      <c r="A42" s="1">
        <v>37</v>
      </c>
      <c r="E42" s="70"/>
      <c r="G42" s="56">
        <f t="shared" si="0"/>
        <v>37</v>
      </c>
    </row>
    <row r="43" spans="1:38">
      <c r="A43" s="1">
        <v>38</v>
      </c>
      <c r="B43" s="3" t="s">
        <v>165</v>
      </c>
      <c r="C43" s="16">
        <f t="shared" si="2"/>
        <v>131.21855372204806</v>
      </c>
      <c r="D43" s="16">
        <f t="shared" si="3"/>
        <v>61.470039573228306</v>
      </c>
      <c r="E43" s="48">
        <f t="shared" si="14"/>
        <v>-0.53154460379561574</v>
      </c>
      <c r="F43" s="32"/>
      <c r="G43" s="56">
        <f t="shared" si="0"/>
        <v>38</v>
      </c>
      <c r="H43" s="3" t="s">
        <v>165</v>
      </c>
      <c r="I43" s="10">
        <f t="shared" ref="I43:AF43" si="17">I39+I41</f>
        <v>60.521821480000014</v>
      </c>
      <c r="J43" s="10">
        <f t="shared" si="17"/>
        <v>78.328132860000025</v>
      </c>
      <c r="K43" s="10">
        <f t="shared" si="17"/>
        <v>70.210792779999906</v>
      </c>
      <c r="L43" s="10">
        <f t="shared" si="17"/>
        <v>79.54130951999997</v>
      </c>
      <c r="M43" s="10">
        <f t="shared" si="17"/>
        <v>64.406698590000005</v>
      </c>
      <c r="N43" s="10">
        <f t="shared" si="17"/>
        <v>44.764812869999986</v>
      </c>
      <c r="O43" s="10">
        <f t="shared" si="17"/>
        <v>53.879768609999999</v>
      </c>
      <c r="P43" s="10">
        <f t="shared" si="17"/>
        <v>67.335081529999997</v>
      </c>
      <c r="Q43" s="10">
        <f t="shared" si="17"/>
        <v>66.334570689999936</v>
      </c>
      <c r="R43" s="10">
        <f t="shared" si="17"/>
        <v>61.375151090000031</v>
      </c>
      <c r="S43" s="10">
        <f t="shared" si="17"/>
        <v>54.692565890000019</v>
      </c>
      <c r="T43" s="10">
        <f t="shared" si="17"/>
        <v>19.483411101313706</v>
      </c>
      <c r="U43" s="10">
        <f t="shared" si="17"/>
        <v>40.459675610000033</v>
      </c>
      <c r="V43" s="10">
        <f t="shared" si="17"/>
        <v>49.667237199999953</v>
      </c>
      <c r="W43" s="10">
        <f t="shared" si="17"/>
        <v>62.207152130000019</v>
      </c>
      <c r="X43" s="16">
        <f>X39+X41</f>
        <v>-62.882355463006213</v>
      </c>
      <c r="Y43" s="16">
        <f t="shared" si="17"/>
        <v>-41.216113527428398</v>
      </c>
      <c r="Z43" s="16">
        <f t="shared" si="17"/>
        <v>32.884941470840772</v>
      </c>
      <c r="AA43" s="16">
        <f t="shared" si="17"/>
        <v>600.9009453321911</v>
      </c>
      <c r="AB43" s="16">
        <f t="shared" si="17"/>
        <v>-52.387831588563458</v>
      </c>
      <c r="AC43" s="16">
        <f t="shared" si="17"/>
        <v>55.879963771958522</v>
      </c>
      <c r="AD43" s="16">
        <f t="shared" si="17"/>
        <v>37.7022504954681</v>
      </c>
      <c r="AE43" s="16">
        <f t="shared" si="17"/>
        <v>80.660112529818875</v>
      </c>
      <c r="AF43" s="16">
        <f t="shared" si="17"/>
        <v>136.2137656568346</v>
      </c>
      <c r="AG43" s="16">
        <v>91.940221888294843</v>
      </c>
      <c r="AH43" s="16">
        <v>131.21855372204806</v>
      </c>
      <c r="AI43" s="16">
        <v>124.397872659355</v>
      </c>
      <c r="AJ43" s="16">
        <f>AJ39+AJ41</f>
        <v>56.234410296084683</v>
      </c>
      <c r="AK43" s="16">
        <v>58.829059836809776</v>
      </c>
      <c r="AL43" s="16">
        <v>61.470039573228306</v>
      </c>
    </row>
    <row r="44" spans="1:38" ht="5.25" customHeight="1">
      <c r="A44" s="1">
        <v>39</v>
      </c>
      <c r="E44" s="80"/>
      <c r="G44" s="56">
        <f t="shared" si="0"/>
        <v>39</v>
      </c>
    </row>
    <row r="45" spans="1:38">
      <c r="A45" s="1">
        <v>40</v>
      </c>
      <c r="B45" s="5" t="s">
        <v>166</v>
      </c>
      <c r="C45" s="76">
        <f t="shared" si="2"/>
        <v>133.9</v>
      </c>
      <c r="D45" s="76">
        <f t="shared" si="3"/>
        <v>61.8</v>
      </c>
      <c r="E45" s="47">
        <f t="shared" si="14"/>
        <v>-0.53846153846153855</v>
      </c>
      <c r="F45" s="32"/>
      <c r="G45" s="56">
        <f t="shared" si="0"/>
        <v>40</v>
      </c>
      <c r="H45" s="5" t="s">
        <v>166</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c r="AC45" s="8">
        <v>47.626031201958433</v>
      </c>
      <c r="AD45" s="76">
        <v>38.84162958546812</v>
      </c>
      <c r="AE45" s="76">
        <v>80.567399019818879</v>
      </c>
      <c r="AF45" s="76">
        <v>128.93079988683485</v>
      </c>
      <c r="AG45" s="76">
        <v>87.862860418294744</v>
      </c>
      <c r="AH45" s="76">
        <v>133.9</v>
      </c>
      <c r="AI45" s="76">
        <v>117.71745612786282</v>
      </c>
      <c r="AJ45" s="76">
        <v>53.90798612488706</v>
      </c>
      <c r="AK45" s="76">
        <v>58.636304096809823</v>
      </c>
      <c r="AL45" s="76">
        <v>61.8</v>
      </c>
    </row>
    <row r="46" spans="1:38">
      <c r="A46" s="1">
        <v>41</v>
      </c>
      <c r="B46" s="5" t="s">
        <v>167</v>
      </c>
      <c r="C46" s="76">
        <f t="shared" si="2"/>
        <v>-2.7175260300000006</v>
      </c>
      <c r="D46" s="76">
        <f t="shared" si="3"/>
        <v>-0.3</v>
      </c>
      <c r="E46" s="47">
        <f t="shared" si="14"/>
        <v>-0.88960547325465733</v>
      </c>
      <c r="F46" s="32"/>
      <c r="G46" s="56">
        <f t="shared" si="0"/>
        <v>41</v>
      </c>
      <c r="H46" s="5" t="s">
        <v>167</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c r="AC46" s="8">
        <v>8.2599789799999996</v>
      </c>
      <c r="AD46" s="76">
        <v>-1.1350231899999992</v>
      </c>
      <c r="AE46" s="76">
        <v>9.2713509999999388E-2</v>
      </c>
      <c r="AF46" s="76">
        <v>7.2829657699999997</v>
      </c>
      <c r="AG46" s="76">
        <v>4.0773614700000005</v>
      </c>
      <c r="AH46" s="76">
        <v>-2.7175260300000006</v>
      </c>
      <c r="AI46" s="76">
        <v>6.65</v>
      </c>
      <c r="AJ46" s="76">
        <v>2.3070095899999998</v>
      </c>
      <c r="AK46" s="76">
        <v>0.19275573999999998</v>
      </c>
      <c r="AL46" s="76">
        <v>-0.3</v>
      </c>
    </row>
    <row r="47" spans="1:38">
      <c r="C47" s="80"/>
      <c r="D47" s="80"/>
    </row>
    <row r="48" spans="1:38">
      <c r="I48" s="32"/>
      <c r="J48" s="32"/>
      <c r="K48" s="32"/>
      <c r="L48" s="32"/>
      <c r="M48" s="32"/>
      <c r="N48" s="32"/>
      <c r="O48" s="32"/>
      <c r="S48" s="32"/>
      <c r="T48" s="32"/>
      <c r="U48" s="32"/>
      <c r="V48" s="32"/>
      <c r="W48" s="32"/>
      <c r="X48" s="32"/>
      <c r="Y48" s="32"/>
      <c r="Z48" s="32"/>
      <c r="AA48" s="32"/>
      <c r="AB48" s="32"/>
      <c r="AC48" s="32"/>
    </row>
    <row r="49" spans="2:5" ht="76.5" customHeight="1">
      <c r="B49" s="139" t="s">
        <v>168</v>
      </c>
      <c r="C49" s="139"/>
      <c r="D49" s="139"/>
      <c r="E49" s="139"/>
    </row>
    <row r="50" spans="2:5" ht="207" customHeight="1">
      <c r="B50" s="139"/>
      <c r="C50" s="139"/>
      <c r="D50" s="139"/>
      <c r="E50" s="139"/>
    </row>
  </sheetData>
  <mergeCells count="35">
    <mergeCell ref="B50:E50"/>
    <mergeCell ref="I6:I7"/>
    <mergeCell ref="J6:J7"/>
    <mergeCell ref="C6:C7"/>
    <mergeCell ref="D6:D7"/>
    <mergeCell ref="E6:E7"/>
    <mergeCell ref="B49:E49"/>
    <mergeCell ref="K6:K7"/>
    <mergeCell ref="L6:L7"/>
    <mergeCell ref="M6:M7"/>
    <mergeCell ref="O6:O7"/>
    <mergeCell ref="S6:S7"/>
    <mergeCell ref="R6:R7"/>
    <mergeCell ref="P6:P7"/>
    <mergeCell ref="Q6:Q7"/>
    <mergeCell ref="N6:N7"/>
    <mergeCell ref="AA6:AA7"/>
    <mergeCell ref="Z6:Z7"/>
    <mergeCell ref="AD6:AD7"/>
    <mergeCell ref="AC6:AC7"/>
    <mergeCell ref="AG6:AG7"/>
    <mergeCell ref="AF6:AF7"/>
    <mergeCell ref="AE6:AE7"/>
    <mergeCell ref="AB6:AB7"/>
    <mergeCell ref="Y6:Y7"/>
    <mergeCell ref="W6:W7"/>
    <mergeCell ref="V6:V7"/>
    <mergeCell ref="X6:X7"/>
    <mergeCell ref="T6:T7"/>
    <mergeCell ref="U6:U7"/>
    <mergeCell ref="AL6:AL7"/>
    <mergeCell ref="AK6:AK7"/>
    <mergeCell ref="AJ6:AJ7"/>
    <mergeCell ref="AI6:AI7"/>
    <mergeCell ref="AH6:AH7"/>
  </mergeCells>
  <phoneticPr fontId="14" type="noConversion"/>
  <pageMargins left="0.7" right="0.7" top="0.75" bottom="0.75" header="0.3" footer="0.3"/>
  <pageSetup orientation="portrait" r:id="rId1"/>
  <ignoredErrors>
    <ignoredError sqref="P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79998168889431442"/>
  </sheetPr>
  <dimension ref="A2:AY73"/>
  <sheetViews>
    <sheetView topLeftCell="E18" zoomScale="77" zoomScaleNormal="77" zoomScaleSheetLayoutView="100" workbookViewId="0">
      <selection activeCell="F38" sqref="F38"/>
    </sheetView>
  </sheetViews>
  <sheetFormatPr baseColWidth="10" defaultColWidth="11.453125" defaultRowHeight="13.5"/>
  <cols>
    <col min="1" max="1" width="11.453125" style="1" hidden="1" customWidth="1"/>
    <col min="2" max="2" width="38.54296875" style="1" customWidth="1"/>
    <col min="3" max="4" width="11.453125" style="1"/>
    <col min="5" max="5" width="11.54296875" style="1" customWidth="1"/>
    <col min="6" max="6" width="11.453125" style="1" customWidth="1"/>
    <col min="7" max="7" width="11.453125" style="56" customWidth="1"/>
    <col min="8" max="8" width="42.453125" style="1" customWidth="1"/>
    <col min="9" max="46" width="11.453125" style="1" customWidth="1"/>
    <col min="47" max="16384" width="11.453125" style="1"/>
  </cols>
  <sheetData>
    <row r="2" spans="1:50">
      <c r="F2" s="82"/>
    </row>
    <row r="3" spans="1:50">
      <c r="F3" s="52"/>
    </row>
    <row r="5" spans="1:50" ht="23.5">
      <c r="B5" s="11" t="s">
        <v>171</v>
      </c>
      <c r="C5" s="12"/>
      <c r="D5" s="12"/>
      <c r="E5" s="12"/>
      <c r="H5" s="11" t="s">
        <v>171</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row>
    <row r="7" spans="1:50" s="131" customFormat="1">
      <c r="A7" s="131">
        <v>1</v>
      </c>
      <c r="B7" s="3" t="s">
        <v>172</v>
      </c>
      <c r="C7" s="138" t="s">
        <v>112</v>
      </c>
      <c r="D7" s="138" t="s">
        <v>221</v>
      </c>
      <c r="E7" s="138" t="s">
        <v>222</v>
      </c>
      <c r="G7" s="132">
        <v>1</v>
      </c>
      <c r="H7" s="3" t="s">
        <v>172</v>
      </c>
      <c r="I7" s="138" t="s">
        <v>76</v>
      </c>
      <c r="J7" s="138" t="s">
        <v>77</v>
      </c>
      <c r="K7" s="138" t="s">
        <v>78</v>
      </c>
      <c r="L7" s="138" t="s">
        <v>79</v>
      </c>
      <c r="M7" s="138" t="s">
        <v>80</v>
      </c>
      <c r="N7" s="138" t="s">
        <v>81</v>
      </c>
      <c r="O7" s="138" t="s">
        <v>82</v>
      </c>
      <c r="P7" s="138" t="s">
        <v>83</v>
      </c>
      <c r="Q7" s="138" t="s">
        <v>84</v>
      </c>
      <c r="R7" s="138" t="s">
        <v>85</v>
      </c>
      <c r="S7" s="138" t="s">
        <v>86</v>
      </c>
      <c r="T7" s="138" t="s">
        <v>87</v>
      </c>
      <c r="U7" s="138" t="s">
        <v>88</v>
      </c>
      <c r="V7" s="138" t="s">
        <v>89</v>
      </c>
      <c r="W7" s="138" t="s">
        <v>90</v>
      </c>
      <c r="X7" s="138" t="s">
        <v>91</v>
      </c>
      <c r="Y7" s="138" t="s">
        <v>92</v>
      </c>
      <c r="Z7" s="138" t="s">
        <v>93</v>
      </c>
      <c r="AA7" s="138" t="s">
        <v>94</v>
      </c>
      <c r="AB7" s="138" t="s">
        <v>95</v>
      </c>
      <c r="AC7" s="138" t="s">
        <v>96</v>
      </c>
      <c r="AD7" s="138" t="s">
        <v>97</v>
      </c>
      <c r="AE7" s="138" t="s">
        <v>98</v>
      </c>
      <c r="AF7" s="138" t="s">
        <v>99</v>
      </c>
      <c r="AG7" s="138" t="s">
        <v>100</v>
      </c>
      <c r="AH7" s="138" t="s">
        <v>101</v>
      </c>
      <c r="AI7" s="138" t="s">
        <v>102</v>
      </c>
      <c r="AJ7" s="138" t="s">
        <v>103</v>
      </c>
      <c r="AK7" s="138" t="s">
        <v>104</v>
      </c>
      <c r="AL7" s="138" t="s">
        <v>105</v>
      </c>
      <c r="AM7" s="138" t="s">
        <v>106</v>
      </c>
      <c r="AN7" s="138" t="s">
        <v>107</v>
      </c>
      <c r="AO7" s="138" t="s">
        <v>108</v>
      </c>
      <c r="AP7" s="138" t="s">
        <v>109</v>
      </c>
      <c r="AQ7" s="138" t="s">
        <v>110</v>
      </c>
      <c r="AR7" s="138" t="s">
        <v>111</v>
      </c>
      <c r="AS7" s="138" t="s">
        <v>73</v>
      </c>
      <c r="AT7" s="138" t="s">
        <v>112</v>
      </c>
      <c r="AU7" s="138" t="s">
        <v>113</v>
      </c>
      <c r="AV7" s="138" t="s">
        <v>114</v>
      </c>
      <c r="AW7" s="138" t="s">
        <v>74</v>
      </c>
      <c r="AX7" s="138" t="s">
        <v>221</v>
      </c>
    </row>
    <row r="8" spans="1:50" s="131" customFormat="1">
      <c r="A8" s="131">
        <v>2</v>
      </c>
      <c r="B8" s="3" t="s">
        <v>140</v>
      </c>
      <c r="C8" s="138"/>
      <c r="D8" s="138"/>
      <c r="E8" s="138"/>
      <c r="G8" s="132">
        <f>G7+1</f>
        <v>2</v>
      </c>
      <c r="H8" s="3" t="s">
        <v>140</v>
      </c>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row>
    <row r="9" spans="1:50">
      <c r="A9" s="1">
        <v>3</v>
      </c>
      <c r="G9" s="56">
        <f t="shared" ref="G9:G33" si="0">G8+1</f>
        <v>3</v>
      </c>
    </row>
    <row r="10" spans="1:50">
      <c r="A10" s="1">
        <v>4</v>
      </c>
      <c r="B10" s="98" t="s">
        <v>172</v>
      </c>
      <c r="C10" s="99">
        <f t="shared" ref="C10:C15" si="1">HLOOKUP($C$7,$H$7:$BN$33,$G10,FALSE)</f>
        <v>482.33148441124291</v>
      </c>
      <c r="D10" s="99">
        <f t="shared" ref="D10:D15" si="2">HLOOKUP($D$7,$H$7:$BN$33,$G10,FALSE)</f>
        <v>372.45664942931512</v>
      </c>
      <c r="E10" s="100">
        <f t="shared" ref="E10:E33" si="3">D10/C10-1</f>
        <v>-0.22779942536002251</v>
      </c>
      <c r="G10" s="56">
        <f t="shared" si="0"/>
        <v>4</v>
      </c>
      <c r="H10" s="98" t="s">
        <v>172</v>
      </c>
      <c r="I10" s="99">
        <f t="shared" ref="I10:AI10" si="4">SUM(I11:I15)</f>
        <v>413.24504169000005</v>
      </c>
      <c r="J10" s="99">
        <f t="shared" si="4"/>
        <v>408.02186204000003</v>
      </c>
      <c r="K10" s="99">
        <f t="shared" si="4"/>
        <v>351.24406281</v>
      </c>
      <c r="L10" s="99">
        <f t="shared" si="4"/>
        <v>330.06554598999998</v>
      </c>
      <c r="M10" s="99">
        <f t="shared" si="4"/>
        <v>317.00992109000003</v>
      </c>
      <c r="N10" s="99">
        <f t="shared" si="4"/>
        <v>358.45925773000005</v>
      </c>
      <c r="O10" s="99">
        <f t="shared" si="4"/>
        <v>336.99432981999996</v>
      </c>
      <c r="P10" s="99">
        <f t="shared" si="4"/>
        <v>295.2</v>
      </c>
      <c r="Q10" s="99">
        <f t="shared" si="4"/>
        <v>306.96104971</v>
      </c>
      <c r="R10" s="99">
        <f t="shared" si="4"/>
        <v>315.18701463999997</v>
      </c>
      <c r="S10" s="99">
        <f t="shared" si="4"/>
        <v>285.26607687999996</v>
      </c>
      <c r="T10" s="99">
        <f t="shared" si="4"/>
        <v>312.09914898</v>
      </c>
      <c r="U10" s="99">
        <f t="shared" si="4"/>
        <v>334.40723076999996</v>
      </c>
      <c r="V10" s="99">
        <f t="shared" si="4"/>
        <v>346.55393107000003</v>
      </c>
      <c r="W10" s="99">
        <f t="shared" si="4"/>
        <v>332.52042805999997</v>
      </c>
      <c r="X10" s="99">
        <f t="shared" si="4"/>
        <v>342.09300468000004</v>
      </c>
      <c r="Y10" s="99">
        <f t="shared" si="4"/>
        <v>353.94514801000003</v>
      </c>
      <c r="Z10" s="99">
        <f t="shared" si="4"/>
        <v>348.51063906000007</v>
      </c>
      <c r="AA10" s="99">
        <f t="shared" si="4"/>
        <v>320.06585212000005</v>
      </c>
      <c r="AB10" s="99">
        <f>+AB11+AB12+AB13+AB14+AB15</f>
        <v>347.33065854</v>
      </c>
      <c r="AC10" s="99">
        <f t="shared" si="4"/>
        <v>341.09638778000004</v>
      </c>
      <c r="AD10" s="99">
        <f t="shared" si="4"/>
        <v>349.16334979000004</v>
      </c>
      <c r="AE10" s="99">
        <f t="shared" si="4"/>
        <v>336.11869616000007</v>
      </c>
      <c r="AF10" s="99">
        <f>SUM(AF11:AF15)</f>
        <v>304.75488297216134</v>
      </c>
      <c r="AG10" s="99">
        <f t="shared" si="4"/>
        <v>304.92839223000004</v>
      </c>
      <c r="AH10" s="99">
        <f t="shared" si="4"/>
        <v>291.72425158999999</v>
      </c>
      <c r="AI10" s="99">
        <f t="shared" si="4"/>
        <v>301.11284210999997</v>
      </c>
      <c r="AJ10" s="99">
        <f>SUM(AJ11:AJ15)</f>
        <v>291.66198053907101</v>
      </c>
      <c r="AK10" s="99">
        <f>SUM(AK11:AK15)</f>
        <v>297.6257196794561</v>
      </c>
      <c r="AL10" s="99">
        <f>SUM(AL11:AL14)</f>
        <v>322.26952723054387</v>
      </c>
      <c r="AM10" s="99">
        <f>SUM(AM11:AM15)</f>
        <v>296.19064495000003</v>
      </c>
      <c r="AN10" s="99">
        <v>330</v>
      </c>
      <c r="AO10" s="99">
        <f>+SUM(AO11:AO15)</f>
        <v>361.71194770738282</v>
      </c>
      <c r="AP10" s="99">
        <f>+SUM(AP11:AP15)</f>
        <v>460.96481391606233</v>
      </c>
      <c r="AQ10" s="99">
        <f t="shared" ref="AQ10:AR10" si="5">+SUM(AQ11:AQ15)</f>
        <v>429.02000000000004</v>
      </c>
      <c r="AR10" s="99">
        <f t="shared" si="5"/>
        <v>469.80545140927131</v>
      </c>
      <c r="AS10" s="99">
        <f>554.589704572665-AS45</f>
        <v>495.03860299266501</v>
      </c>
      <c r="AT10" s="99">
        <f t="shared" ref="AT10:AW10" si="6">SUM(AT11:AT15)</f>
        <v>482.33148441124291</v>
      </c>
      <c r="AU10" s="99">
        <f t="shared" si="6"/>
        <v>367.22722675469447</v>
      </c>
      <c r="AV10" s="99">
        <f t="shared" si="6"/>
        <v>346.78685161240321</v>
      </c>
      <c r="AW10" s="99">
        <f t="shared" si="6"/>
        <v>331.14380487600795</v>
      </c>
      <c r="AX10" s="99">
        <f>SUM(AX11:AX15)</f>
        <v>372.45664942931512</v>
      </c>
    </row>
    <row r="11" spans="1:50">
      <c r="A11" s="1">
        <v>5</v>
      </c>
      <c r="B11" s="5" t="s">
        <v>173</v>
      </c>
      <c r="C11" s="7">
        <f t="shared" si="1"/>
        <v>88.355904710000019</v>
      </c>
      <c r="D11" s="7">
        <f t="shared" si="2"/>
        <v>36.605826069999999</v>
      </c>
      <c r="E11" s="35">
        <f t="shared" si="3"/>
        <v>-0.58570028579134692</v>
      </c>
      <c r="G11" s="56">
        <f t="shared" si="0"/>
        <v>5</v>
      </c>
      <c r="H11" s="5" t="s">
        <v>173</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v>88.743230329999989</v>
      </c>
      <c r="AM11" s="7">
        <v>92.522331149999999</v>
      </c>
      <c r="AN11" s="7">
        <v>87.586306500000035</v>
      </c>
      <c r="AO11" s="7">
        <v>68.380471639999996</v>
      </c>
      <c r="AP11" s="7">
        <v>75.41440996</v>
      </c>
      <c r="AQ11" s="7">
        <v>87.1</v>
      </c>
      <c r="AR11" s="7">
        <v>76.240821440000019</v>
      </c>
      <c r="AS11" s="7">
        <f>123.2826618-AS46</f>
        <v>83.051899029999987</v>
      </c>
      <c r="AT11" s="7">
        <v>88.355904710000019</v>
      </c>
      <c r="AU11" s="7">
        <v>96.599977299999964</v>
      </c>
      <c r="AV11" s="7">
        <v>102.02196951000003</v>
      </c>
      <c r="AW11" s="7">
        <v>26.09</v>
      </c>
      <c r="AX11" s="7">
        <v>36.605826069999999</v>
      </c>
    </row>
    <row r="12" spans="1:50">
      <c r="A12" s="1">
        <v>6</v>
      </c>
      <c r="B12" s="5" t="s">
        <v>174</v>
      </c>
      <c r="C12" s="7">
        <f t="shared" si="1"/>
        <v>278.36316868000011</v>
      </c>
      <c r="D12" s="7">
        <f t="shared" si="2"/>
        <v>238.37370589000002</v>
      </c>
      <c r="E12" s="35">
        <f t="shared" si="3"/>
        <v>-0.1436593173573586</v>
      </c>
      <c r="G12" s="56">
        <f t="shared" si="0"/>
        <v>6</v>
      </c>
      <c r="H12" s="5" t="s">
        <v>174</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3">
        <v>141.20456391000002</v>
      </c>
      <c r="AA12" s="43">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v>162.52249409000001</v>
      </c>
      <c r="AM12" s="7">
        <v>149.12498557999999</v>
      </c>
      <c r="AN12" s="7">
        <v>195.05197591999996</v>
      </c>
      <c r="AO12" s="7">
        <v>230.86547482000003</v>
      </c>
      <c r="AP12" s="7">
        <v>240.11867740000002</v>
      </c>
      <c r="AQ12" s="7">
        <v>244.38</v>
      </c>
      <c r="AR12" s="7">
        <v>316.51294347999988</v>
      </c>
      <c r="AS12" s="7">
        <f>305.34072901-AS47</f>
        <v>290.08562165000001</v>
      </c>
      <c r="AT12" s="7">
        <v>278.36316868000011</v>
      </c>
      <c r="AU12" s="7">
        <v>224.04464177</v>
      </c>
      <c r="AV12" s="7">
        <v>229.19460626999995</v>
      </c>
      <c r="AW12" s="7">
        <v>228.23989657999996</v>
      </c>
      <c r="AX12" s="7">
        <v>238.37370589000002</v>
      </c>
    </row>
    <row r="13" spans="1:50">
      <c r="A13" s="1">
        <v>7</v>
      </c>
      <c r="B13" s="5" t="s">
        <v>175</v>
      </c>
      <c r="C13" s="43">
        <f t="shared" si="1"/>
        <v>103.23218716999999</v>
      </c>
      <c r="D13" s="43">
        <f t="shared" si="2"/>
        <v>85.134310830000018</v>
      </c>
      <c r="E13" s="35">
        <f t="shared" si="3"/>
        <v>-0.17531234042534505</v>
      </c>
      <c r="G13" s="56">
        <f t="shared" si="0"/>
        <v>7</v>
      </c>
      <c r="H13" s="5" t="s">
        <v>175</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3">
        <v>39.212896179999994</v>
      </c>
      <c r="AA13" s="43">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v>59.43367155</v>
      </c>
      <c r="AM13" s="7">
        <v>45.743328219999995</v>
      </c>
      <c r="AN13" s="7">
        <v>42.527461470000006</v>
      </c>
      <c r="AO13" s="7">
        <v>53.898064349999991</v>
      </c>
      <c r="AP13" s="43">
        <v>136.98362736999997</v>
      </c>
      <c r="AQ13" s="43">
        <v>87.56</v>
      </c>
      <c r="AR13" s="43">
        <v>71.843575979999997</v>
      </c>
      <c r="AS13" s="43">
        <v>106.50984036999999</v>
      </c>
      <c r="AT13" s="43">
        <v>103.23218716999999</v>
      </c>
      <c r="AU13" s="43">
        <v>24.150724980000007</v>
      </c>
      <c r="AV13" s="43">
        <v>3.2635667100000063</v>
      </c>
      <c r="AW13" s="63">
        <v>64.540000000000006</v>
      </c>
      <c r="AX13" s="63">
        <v>85.134310830000018</v>
      </c>
    </row>
    <row r="14" spans="1:50">
      <c r="A14" s="1">
        <v>8</v>
      </c>
      <c r="B14" s="5" t="s">
        <v>145</v>
      </c>
      <c r="C14" s="63">
        <f t="shared" si="1"/>
        <v>0</v>
      </c>
      <c r="D14" s="63" t="str">
        <f t="shared" si="2"/>
        <v>-</v>
      </c>
      <c r="E14" s="47" t="s">
        <v>131</v>
      </c>
      <c r="G14" s="56">
        <f t="shared" si="0"/>
        <v>8</v>
      </c>
      <c r="H14" s="5" t="s">
        <v>145</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3">
        <v>13.981938399999999</v>
      </c>
      <c r="AA14" s="43">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11.570131260543871</v>
      </c>
      <c r="AM14" s="7">
        <v>0</v>
      </c>
      <c r="AN14" s="43">
        <v>0</v>
      </c>
      <c r="AO14" s="43">
        <v>0</v>
      </c>
      <c r="AP14" s="43">
        <v>0</v>
      </c>
      <c r="AQ14" s="43">
        <v>0</v>
      </c>
      <c r="AR14" s="63" t="s">
        <v>131</v>
      </c>
      <c r="AS14" s="63">
        <v>0</v>
      </c>
      <c r="AT14" s="63">
        <v>0</v>
      </c>
      <c r="AU14" s="63">
        <v>0</v>
      </c>
      <c r="AV14" s="63" t="s">
        <v>131</v>
      </c>
      <c r="AW14" s="63" t="s">
        <v>131</v>
      </c>
      <c r="AX14" s="63" t="s">
        <v>131</v>
      </c>
    </row>
    <row r="15" spans="1:50">
      <c r="A15" s="1">
        <v>9</v>
      </c>
      <c r="B15" s="5" t="s">
        <v>143</v>
      </c>
      <c r="C15" s="43">
        <f t="shared" si="1"/>
        <v>12.3802238512428</v>
      </c>
      <c r="D15" s="43">
        <f t="shared" si="2"/>
        <v>12.342806639315105</v>
      </c>
      <c r="E15" s="35">
        <f t="shared" si="3"/>
        <v>-3.0223372676688731E-3</v>
      </c>
      <c r="G15" s="56">
        <f t="shared" si="0"/>
        <v>9</v>
      </c>
      <c r="H15" s="5" t="s">
        <v>143</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3">
        <v>5.0303974700000005</v>
      </c>
      <c r="AA15" s="43">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8.8000000000000007</v>
      </c>
      <c r="AN15" s="7">
        <v>4.9064399222843491</v>
      </c>
      <c r="AO15" s="7">
        <v>8.5679368973828378</v>
      </c>
      <c r="AP15" s="43">
        <v>8.4480991860623238</v>
      </c>
      <c r="AQ15" s="43">
        <v>9.98</v>
      </c>
      <c r="AR15" s="43">
        <v>5.2081105092714992</v>
      </c>
      <c r="AS15" s="43">
        <v>15.391241942664575</v>
      </c>
      <c r="AT15" s="43">
        <v>12.3802238512428</v>
      </c>
      <c r="AU15" s="43">
        <v>22.431882704694491</v>
      </c>
      <c r="AV15" s="43">
        <v>12.30670912240323</v>
      </c>
      <c r="AW15" s="43">
        <v>12.273908296007976</v>
      </c>
      <c r="AX15" s="43">
        <v>12.342806639315105</v>
      </c>
    </row>
    <row r="16" spans="1:50">
      <c r="A16" s="1">
        <v>10</v>
      </c>
      <c r="E16" s="39"/>
      <c r="G16" s="56">
        <f t="shared" si="0"/>
        <v>10</v>
      </c>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M16" s="32"/>
      <c r="AN16" s="32"/>
      <c r="AO16" s="32"/>
    </row>
    <row r="17" spans="1:50">
      <c r="A17" s="1">
        <v>11</v>
      </c>
      <c r="B17" s="98" t="s">
        <v>176</v>
      </c>
      <c r="C17" s="101">
        <f t="shared" ref="C17:C23" si="7">HLOOKUP($C$7,$H$7:$BN$33,$G17,FALSE)</f>
        <v>-310.7</v>
      </c>
      <c r="D17" s="101">
        <f t="shared" ref="D17:D23" si="8">HLOOKUP($D$7,$H$7:$BN$33,$G17,FALSE)</f>
        <v>-205.28038773348828</v>
      </c>
      <c r="E17" s="100">
        <f>D17/C17-1</f>
        <v>-0.33929711060995082</v>
      </c>
      <c r="G17" s="56">
        <f t="shared" si="0"/>
        <v>11</v>
      </c>
      <c r="H17" s="98" t="s">
        <v>176</v>
      </c>
      <c r="I17" s="99">
        <f t="shared" ref="I17:AJ17" si="9">SUM(I18:I23)</f>
        <v>-275.35129532000002</v>
      </c>
      <c r="J17" s="99">
        <f t="shared" si="9"/>
        <v>-245.57660835000001</v>
      </c>
      <c r="K17" s="99">
        <f t="shared" si="9"/>
        <v>-213.76067669000003</v>
      </c>
      <c r="L17" s="99">
        <f t="shared" si="9"/>
        <v>-149.01963957999999</v>
      </c>
      <c r="M17" s="99">
        <f t="shared" si="9"/>
        <v>-205.1628939</v>
      </c>
      <c r="N17" s="99">
        <f t="shared" si="9"/>
        <v>-201.26569451</v>
      </c>
      <c r="O17" s="99">
        <f t="shared" si="9"/>
        <v>-136.02479528999999</v>
      </c>
      <c r="P17" s="99">
        <f t="shared" si="9"/>
        <v>-98.7</v>
      </c>
      <c r="Q17" s="99">
        <f t="shared" si="9"/>
        <v>-132.75843111</v>
      </c>
      <c r="R17" s="99">
        <f t="shared" si="9"/>
        <v>-150.15819938999999</v>
      </c>
      <c r="S17" s="99">
        <f t="shared" si="9"/>
        <v>-154.75086822</v>
      </c>
      <c r="T17" s="99">
        <f t="shared" si="9"/>
        <v>-142.57810221000003</v>
      </c>
      <c r="U17" s="99">
        <f t="shared" si="9"/>
        <v>-167.26441367999999</v>
      </c>
      <c r="V17" s="99">
        <f t="shared" si="9"/>
        <v>-175.75027431000001</v>
      </c>
      <c r="W17" s="99">
        <f t="shared" si="9"/>
        <v>-147.17653369000001</v>
      </c>
      <c r="X17" s="99">
        <f t="shared" si="9"/>
        <v>-124.09420446999999</v>
      </c>
      <c r="Y17" s="99">
        <f t="shared" si="9"/>
        <v>-173.83893678999999</v>
      </c>
      <c r="Z17" s="99">
        <f t="shared" si="9"/>
        <v>-181.13288132</v>
      </c>
      <c r="AA17" s="99">
        <f t="shared" si="9"/>
        <v>-146.27714492000001</v>
      </c>
      <c r="AB17" s="99">
        <f t="shared" si="9"/>
        <v>-116.73437586999998</v>
      </c>
      <c r="AC17" s="99">
        <f t="shared" si="9"/>
        <v>-170.47125767000003</v>
      </c>
      <c r="AD17" s="99">
        <f t="shared" si="9"/>
        <v>-170.79738747000002</v>
      </c>
      <c r="AE17" s="99">
        <f t="shared" si="9"/>
        <v>-152.53082833000002</v>
      </c>
      <c r="AF17" s="99">
        <f t="shared" si="9"/>
        <v>-117.26530571084766</v>
      </c>
      <c r="AG17" s="99">
        <f t="shared" si="9"/>
        <v>-128.9747912</v>
      </c>
      <c r="AH17" s="99">
        <f t="shared" si="9"/>
        <v>-125.15747811000001</v>
      </c>
      <c r="AI17" s="99">
        <f t="shared" si="9"/>
        <v>-117.61759233000001</v>
      </c>
      <c r="AJ17" s="99">
        <f t="shared" si="9"/>
        <v>-103.64530324</v>
      </c>
      <c r="AK17" s="99">
        <f t="shared" ref="AK17:AR17" si="10">+SUM(AK18:AK23)</f>
        <v>-145.81400551999999</v>
      </c>
      <c r="AL17" s="99">
        <f t="shared" si="10"/>
        <v>-174.63671665124437</v>
      </c>
      <c r="AM17" s="99">
        <f t="shared" si="10"/>
        <v>-235.42365913</v>
      </c>
      <c r="AN17" s="99">
        <f t="shared" si="10"/>
        <v>-152.81074061000007</v>
      </c>
      <c r="AO17" s="99">
        <f t="shared" si="10"/>
        <v>-211.96305361999998</v>
      </c>
      <c r="AP17" s="99">
        <f t="shared" si="10"/>
        <v>-298.74683102163107</v>
      </c>
      <c r="AQ17" s="99">
        <f t="shared" si="10"/>
        <v>-218.07999999999998</v>
      </c>
      <c r="AR17" s="99">
        <f t="shared" si="10"/>
        <v>-210.35453464999992</v>
      </c>
      <c r="AS17" s="99">
        <f>+SUM(AS18:AS23)</f>
        <v>-293.65883464210339</v>
      </c>
      <c r="AT17" s="99">
        <f t="shared" ref="AT17:AW17" si="11">SUM(AT18:AT23)</f>
        <v>-310.7</v>
      </c>
      <c r="AU17" s="99">
        <f t="shared" si="11"/>
        <v>-155.8250032176779</v>
      </c>
      <c r="AV17" s="99">
        <f t="shared" si="11"/>
        <v>-174.63225831325133</v>
      </c>
      <c r="AW17" s="99">
        <f t="shared" si="11"/>
        <v>-167.89720056754703</v>
      </c>
      <c r="AX17" s="99">
        <f>SUM(AX18:AX23)</f>
        <v>-205.28038773348828</v>
      </c>
    </row>
    <row r="18" spans="1:50">
      <c r="A18" s="1">
        <v>12</v>
      </c>
      <c r="B18" s="5" t="s">
        <v>145</v>
      </c>
      <c r="C18" s="63">
        <f t="shared" si="7"/>
        <v>-41.1</v>
      </c>
      <c r="D18" s="63">
        <f t="shared" si="8"/>
        <v>-34.338893129999995</v>
      </c>
      <c r="E18" s="35">
        <f t="shared" si="3"/>
        <v>-0.16450381678832127</v>
      </c>
      <c r="G18" s="56">
        <f t="shared" si="0"/>
        <v>12</v>
      </c>
      <c r="H18" s="5" t="s">
        <v>145</v>
      </c>
      <c r="I18" s="43">
        <v>-48.867815859999993</v>
      </c>
      <c r="J18" s="43">
        <v>-36.536173910000002</v>
      </c>
      <c r="K18" s="43">
        <v>-36.232333570000002</v>
      </c>
      <c r="L18" s="43">
        <v>-40.281641289999996</v>
      </c>
      <c r="M18" s="43">
        <v>-39.09474281</v>
      </c>
      <c r="N18" s="43">
        <v>-34.689093559999996</v>
      </c>
      <c r="O18" s="43">
        <v>-34.50693442</v>
      </c>
      <c r="P18" s="43">
        <v>-33.299999999999997</v>
      </c>
      <c r="Q18" s="43">
        <v>-34.796432860000003</v>
      </c>
      <c r="R18" s="43">
        <v>-36.290084159999992</v>
      </c>
      <c r="S18" s="43">
        <v>-35.83344452</v>
      </c>
      <c r="T18" s="43">
        <v>-34.904950130000003</v>
      </c>
      <c r="U18" s="43">
        <v>-40.870053159999991</v>
      </c>
      <c r="V18" s="43">
        <v>-36.607482070000003</v>
      </c>
      <c r="W18" s="43">
        <v>-38.842737790000008</v>
      </c>
      <c r="X18" s="43">
        <v>-40.685668849999999</v>
      </c>
      <c r="Y18" s="43">
        <v>-39.213009910000004</v>
      </c>
      <c r="Z18" s="43">
        <v>-31.770287920000001</v>
      </c>
      <c r="AA18" s="43">
        <v>-26.527575679999998</v>
      </c>
      <c r="AB18" s="43">
        <f>+-32.17954707-AB53</f>
        <v>-32.179547069999998</v>
      </c>
      <c r="AC18" s="43">
        <f>+-32.9777754-AC53</f>
        <v>-32.4816121</v>
      </c>
      <c r="AD18" s="43">
        <f>+-34.29679217-AD53</f>
        <v>-33.566455930000004</v>
      </c>
      <c r="AE18" s="43">
        <v>-49.28598399000002</v>
      </c>
      <c r="AF18" s="43">
        <f>+-20.88005158-AF53</f>
        <v>-19.960651899999998</v>
      </c>
      <c r="AG18" s="43">
        <f>+-21.55022939-AG53</f>
        <v>-20.850229389999999</v>
      </c>
      <c r="AH18" s="43">
        <f>+-26.60999613-AH53</f>
        <v>-24.390609949999998</v>
      </c>
      <c r="AI18" s="43">
        <f>+-26.50304141-AI53</f>
        <v>-25.258113340000001</v>
      </c>
      <c r="AJ18" s="43">
        <f>+-38.09702692-AJ53</f>
        <v>-36.941916479999996</v>
      </c>
      <c r="AK18" s="43">
        <f>+-31.25610667-AK53</f>
        <v>-30.835691730000001</v>
      </c>
      <c r="AL18" s="43">
        <v>-36.579687749999998</v>
      </c>
      <c r="AM18" s="43">
        <v>-31.3</v>
      </c>
      <c r="AN18" s="43">
        <v>-28.740887379999975</v>
      </c>
      <c r="AO18" s="43">
        <v>-34.999264529999991</v>
      </c>
      <c r="AP18" s="43">
        <v>-35.361309640000002</v>
      </c>
      <c r="AQ18" s="43">
        <v>-30.31</v>
      </c>
      <c r="AR18" s="43">
        <v>-33.132624860000035</v>
      </c>
      <c r="AS18" s="43">
        <v>-37.42370777</v>
      </c>
      <c r="AT18" s="43">
        <v>-41.1</v>
      </c>
      <c r="AU18" s="43">
        <v>-28.996101320000015</v>
      </c>
      <c r="AV18" s="43">
        <v>-28.341474049999988</v>
      </c>
      <c r="AW18" s="43">
        <v>-32.837051469999999</v>
      </c>
      <c r="AX18" s="43">
        <v>-34.338893129999995</v>
      </c>
    </row>
    <row r="19" spans="1:50">
      <c r="A19" s="1">
        <v>13</v>
      </c>
      <c r="B19" s="5" t="s">
        <v>146</v>
      </c>
      <c r="C19" s="63">
        <f t="shared" si="7"/>
        <v>-35</v>
      </c>
      <c r="D19" s="63">
        <f t="shared" si="8"/>
        <v>-20.042395860000003</v>
      </c>
      <c r="E19" s="35">
        <f t="shared" si="3"/>
        <v>-0.42736011828571419</v>
      </c>
      <c r="G19" s="56">
        <f t="shared" si="0"/>
        <v>13</v>
      </c>
      <c r="H19" s="5" t="s">
        <v>146</v>
      </c>
      <c r="I19" s="43">
        <v>-18.03067094</v>
      </c>
      <c r="J19" s="43">
        <v>-3.3591411400000002</v>
      </c>
      <c r="K19" s="43">
        <v>-20.369487509999999</v>
      </c>
      <c r="L19" s="43">
        <v>-29.147778030000001</v>
      </c>
      <c r="M19" s="43">
        <v>-4.5187954299999999</v>
      </c>
      <c r="N19" s="43">
        <v>-9.2159443799999998</v>
      </c>
      <c r="O19" s="43">
        <v>-10.38048916</v>
      </c>
      <c r="P19" s="43">
        <v>-16.5</v>
      </c>
      <c r="Q19" s="43">
        <v>-5.5495712899999994</v>
      </c>
      <c r="R19" s="43">
        <v>-6.9293658100000002</v>
      </c>
      <c r="S19" s="43">
        <v>-38.774170070000004</v>
      </c>
      <c r="T19" s="43">
        <v>-34.718472030000001</v>
      </c>
      <c r="U19" s="43">
        <v>-7.4512985600000015</v>
      </c>
      <c r="V19" s="43">
        <v>-8.1270384000000018</v>
      </c>
      <c r="W19" s="43">
        <v>-12.170216480000001</v>
      </c>
      <c r="X19" s="43">
        <v>-15.217228350000001</v>
      </c>
      <c r="Y19" s="43">
        <v>-7.642425229999998</v>
      </c>
      <c r="Z19" s="43">
        <v>-8.2504383900000011</v>
      </c>
      <c r="AA19" s="43">
        <v>-12.82375993</v>
      </c>
      <c r="AB19" s="43">
        <f>+-10.25707385-AB54</f>
        <v>-10.25332315</v>
      </c>
      <c r="AC19" s="43">
        <f>+-2.75986665-AC54</f>
        <v>-2.4879566200000003</v>
      </c>
      <c r="AD19" s="43">
        <f>+-13.18502617-AD54</f>
        <v>-12.817846660000001</v>
      </c>
      <c r="AE19" s="43">
        <v>-30.11858333</v>
      </c>
      <c r="AF19" s="43">
        <f>+-18.77742197-AF54</f>
        <v>-18.427504539999997</v>
      </c>
      <c r="AG19" s="43">
        <f>+-15.50763813-AG54</f>
        <v>-14.207638129999999</v>
      </c>
      <c r="AH19" s="43">
        <f>+-7.04974417-AH54</f>
        <v>-6.5616336200000003</v>
      </c>
      <c r="AI19" s="43">
        <f>+-8.86610442-AI54</f>
        <v>-8.8063862099999994</v>
      </c>
      <c r="AJ19" s="43">
        <f>+-22.67480489-AJ54</f>
        <v>-22.67467628</v>
      </c>
      <c r="AK19" s="43">
        <f>+-15.90505726-AK54</f>
        <v>-15.520190899999999</v>
      </c>
      <c r="AL19" s="43">
        <v>-12.663205760000004</v>
      </c>
      <c r="AM19" s="43">
        <v>-18.399999999999999</v>
      </c>
      <c r="AN19" s="43">
        <v>-22.747301230000005</v>
      </c>
      <c r="AO19" s="43">
        <v>-28.384416129999998</v>
      </c>
      <c r="AP19" s="43">
        <v>-38.247207030000006</v>
      </c>
      <c r="AQ19" s="43">
        <v>-36.07</v>
      </c>
      <c r="AR19" s="43">
        <v>-23.949563029999979</v>
      </c>
      <c r="AS19" s="43">
        <v>-31.198525449999998</v>
      </c>
      <c r="AT19" s="43">
        <v>-35</v>
      </c>
      <c r="AU19" s="43">
        <v>-33.427848479999987</v>
      </c>
      <c r="AV19" s="43">
        <v>-46.032795730000011</v>
      </c>
      <c r="AW19" s="43">
        <v>-9.4458161899999986</v>
      </c>
      <c r="AX19" s="43">
        <v>-20.042395860000003</v>
      </c>
    </row>
    <row r="20" spans="1:50">
      <c r="A20" s="1">
        <v>14</v>
      </c>
      <c r="B20" s="5" t="s">
        <v>147</v>
      </c>
      <c r="C20" s="63">
        <f t="shared" si="7"/>
        <v>-147.5</v>
      </c>
      <c r="D20" s="63">
        <f t="shared" si="8"/>
        <v>-100.51503481</v>
      </c>
      <c r="E20" s="35">
        <f t="shared" si="3"/>
        <v>-0.31854213688135591</v>
      </c>
      <c r="G20" s="56">
        <f t="shared" si="0"/>
        <v>14</v>
      </c>
      <c r="H20" s="5" t="s">
        <v>147</v>
      </c>
      <c r="I20" s="43">
        <v>-143.05921096000003</v>
      </c>
      <c r="J20" s="43">
        <v>-115.28823815000001</v>
      </c>
      <c r="K20" s="43">
        <v>-64.623558400000007</v>
      </c>
      <c r="L20" s="43">
        <v>-18.6760698</v>
      </c>
      <c r="M20" s="43">
        <v>-95.077913459999991</v>
      </c>
      <c r="N20" s="43">
        <v>-96.246866560000015</v>
      </c>
      <c r="O20" s="43">
        <v>-48.765143299999998</v>
      </c>
      <c r="P20" s="43">
        <v>-11.3</v>
      </c>
      <c r="Q20" s="43">
        <v>-55.49246531</v>
      </c>
      <c r="R20" s="43">
        <v>-48.625604530000011</v>
      </c>
      <c r="S20" s="43">
        <v>-29.351692119999996</v>
      </c>
      <c r="T20" s="43">
        <v>-46.499171390000001</v>
      </c>
      <c r="U20" s="43">
        <v>-74.428830290000008</v>
      </c>
      <c r="V20" s="43">
        <v>-74.671550390000007</v>
      </c>
      <c r="W20" s="43">
        <v>-44.972191940000002</v>
      </c>
      <c r="X20" s="43">
        <v>-22.572275439999995</v>
      </c>
      <c r="Y20" s="43">
        <v>-81.834264469999994</v>
      </c>
      <c r="Z20" s="43">
        <v>-91.752166529999982</v>
      </c>
      <c r="AA20" s="43">
        <v>-63.272530880000005</v>
      </c>
      <c r="AB20" s="43">
        <f>+-51.49424782-AB55</f>
        <v>-26.208514819999998</v>
      </c>
      <c r="AC20" s="43">
        <f>+-103.54780074-AC55</f>
        <v>-83.935614360000002</v>
      </c>
      <c r="AD20" s="43">
        <f>+-95.37933399-AD55</f>
        <v>-79.202876680000003</v>
      </c>
      <c r="AE20" s="43">
        <v>-48.18053414000002</v>
      </c>
      <c r="AF20" s="43">
        <f>+-64.13887255-AF55</f>
        <v>-43.382659270000005</v>
      </c>
      <c r="AG20" s="43">
        <f>+-68.50728894-AG55</f>
        <v>-57.407288939999994</v>
      </c>
      <c r="AH20" s="43">
        <f>+-69.67391141-AH55</f>
        <v>-55.093791430000003</v>
      </c>
      <c r="AI20" s="43">
        <f>+-75.50659227-AI55</f>
        <v>-54.870246770000001</v>
      </c>
      <c r="AJ20" s="43">
        <f>+-31.72562505-AJ55</f>
        <v>-12.156151910000002</v>
      </c>
      <c r="AK20" s="43">
        <f>+-66.27092621-AK55</f>
        <v>-51.142680729999995</v>
      </c>
      <c r="AL20" s="43">
        <v>-76.862570170000012</v>
      </c>
      <c r="AM20" s="43">
        <v>-128.16187044</v>
      </c>
      <c r="AN20" s="43">
        <v>-64.591707400000018</v>
      </c>
      <c r="AO20" s="43">
        <v>-97.481601500000011</v>
      </c>
      <c r="AP20" s="43">
        <v>-128.01139555999998</v>
      </c>
      <c r="AQ20" s="43">
        <v>-89.83</v>
      </c>
      <c r="AR20" s="43">
        <v>-109.43343026999992</v>
      </c>
      <c r="AS20" s="43">
        <v>-154.33568976000001</v>
      </c>
      <c r="AT20" s="43">
        <v>-147.5</v>
      </c>
      <c r="AU20" s="43">
        <v>-50.611767769999972</v>
      </c>
      <c r="AV20" s="43">
        <v>-55.245906590000061</v>
      </c>
      <c r="AW20" s="43">
        <v>-71.003414499999991</v>
      </c>
      <c r="AX20" s="43">
        <v>-100.51503481</v>
      </c>
    </row>
    <row r="21" spans="1:50">
      <c r="A21" s="1">
        <v>15</v>
      </c>
      <c r="B21" s="5" t="s">
        <v>148</v>
      </c>
      <c r="C21" s="63">
        <f t="shared" si="7"/>
        <v>-8.6999999999999993</v>
      </c>
      <c r="D21" s="63">
        <f t="shared" si="8"/>
        <v>-2.7735916800000004</v>
      </c>
      <c r="E21" s="35">
        <f t="shared" si="3"/>
        <v>-0.6811963586206895</v>
      </c>
      <c r="G21" s="56">
        <f t="shared" si="0"/>
        <v>15</v>
      </c>
      <c r="H21" s="5" t="s">
        <v>148</v>
      </c>
      <c r="I21" s="43">
        <v>-22.91047446</v>
      </c>
      <c r="J21" s="43">
        <v>-43.010705830000006</v>
      </c>
      <c r="K21" s="43">
        <v>-40.598616540000009</v>
      </c>
      <c r="L21" s="43">
        <v>-3.2749097999999996</v>
      </c>
      <c r="M21" s="43">
        <v>-22.496929869999999</v>
      </c>
      <c r="N21" s="43">
        <v>-18.099470910000001</v>
      </c>
      <c r="O21" s="43">
        <v>-1.5190404399999999</v>
      </c>
      <c r="P21" s="43">
        <v>-2</v>
      </c>
      <c r="Q21" s="43">
        <v>-2.0902260800000003</v>
      </c>
      <c r="R21" s="43">
        <v>-23.231005809999996</v>
      </c>
      <c r="S21" s="43">
        <v>-13.097372880000002</v>
      </c>
      <c r="T21" s="43">
        <v>-2.91121008</v>
      </c>
      <c r="U21" s="43">
        <v>-6.969882909999999</v>
      </c>
      <c r="V21" s="43">
        <v>-16.593912970000002</v>
      </c>
      <c r="W21" s="43">
        <v>-4.990396689999999</v>
      </c>
      <c r="X21" s="43">
        <v>-2.59113864</v>
      </c>
      <c r="Y21" s="43">
        <v>-3.0085850299999999</v>
      </c>
      <c r="Z21" s="43">
        <v>-4.8410693299999998</v>
      </c>
      <c r="AA21" s="43">
        <v>-3.6377084799999992</v>
      </c>
      <c r="AB21" s="43">
        <f>+-3.58230685-AB56</f>
        <v>-3.5823068500000002</v>
      </c>
      <c r="AC21" s="43">
        <f>+-9.14473538-AC56</f>
        <v>-9.1447353800000002</v>
      </c>
      <c r="AD21" s="43">
        <v>-2.1464366200000002</v>
      </c>
      <c r="AE21" s="43">
        <v>-0.41594635999999952</v>
      </c>
      <c r="AF21" s="43">
        <f>+-0.974576780847656-AF56</f>
        <v>-0.97457678084765598</v>
      </c>
      <c r="AG21" s="43">
        <v>-4.2986809299999997</v>
      </c>
      <c r="AH21" s="43">
        <f>+-2.94319108-AH56</f>
        <v>-2.9431910800000001</v>
      </c>
      <c r="AI21" s="43">
        <v>-0.41815340000000006</v>
      </c>
      <c r="AJ21" s="43">
        <v>-1.86275127</v>
      </c>
      <c r="AK21" s="43">
        <f>+-16.70689078-AK56</f>
        <v>-16.706890779999998</v>
      </c>
      <c r="AL21" s="43">
        <v>-7.3473143399999978</v>
      </c>
      <c r="AM21" s="43">
        <v>-18.83520717</v>
      </c>
      <c r="AN21" s="43">
        <v>-6.1802511399999993</v>
      </c>
      <c r="AO21" s="43">
        <v>-7.0593287499999997</v>
      </c>
      <c r="AP21" s="43">
        <v>-50.758022610000005</v>
      </c>
      <c r="AQ21" s="43">
        <v>-7.21</v>
      </c>
      <c r="AR21" s="43">
        <v>-5.3518450999999914</v>
      </c>
      <c r="AS21" s="43">
        <v>-7.3668896100000003</v>
      </c>
      <c r="AT21" s="43">
        <v>-8.6999999999999993</v>
      </c>
      <c r="AU21" s="43">
        <v>-0.90205733000000166</v>
      </c>
      <c r="AV21" s="43">
        <v>-1.1735378799999978</v>
      </c>
      <c r="AW21" s="43">
        <v>-0.94630468999999995</v>
      </c>
      <c r="AX21" s="43">
        <v>-2.7735916800000004</v>
      </c>
    </row>
    <row r="22" spans="1:50">
      <c r="A22" s="1">
        <v>16</v>
      </c>
      <c r="B22" s="5" t="s">
        <v>149</v>
      </c>
      <c r="C22" s="63">
        <f t="shared" si="7"/>
        <v>-55.7</v>
      </c>
      <c r="D22" s="63">
        <f t="shared" si="8"/>
        <v>-27.649152689999994</v>
      </c>
      <c r="E22" s="35">
        <f t="shared" si="3"/>
        <v>-0.50360587630161591</v>
      </c>
      <c r="G22" s="56">
        <f t="shared" si="0"/>
        <v>16</v>
      </c>
      <c r="H22" s="5" t="s">
        <v>149</v>
      </c>
      <c r="I22" s="43">
        <v>-23.41590613</v>
      </c>
      <c r="J22" s="43">
        <v>-25.471509249999997</v>
      </c>
      <c r="K22" s="43">
        <v>-24.229548649999998</v>
      </c>
      <c r="L22" s="43">
        <v>-19.288644770000001</v>
      </c>
      <c r="M22" s="43">
        <v>-26.610703540000006</v>
      </c>
      <c r="N22" s="43">
        <v>-22.176684440000002</v>
      </c>
      <c r="O22" s="43">
        <v>-20.448241290000002</v>
      </c>
      <c r="P22" s="43">
        <v>-8.4</v>
      </c>
      <c r="Q22" s="43">
        <v>-18.665973629999996</v>
      </c>
      <c r="R22" s="43">
        <v>-16.86084202</v>
      </c>
      <c r="S22" s="43">
        <v>-18.844166730000001</v>
      </c>
      <c r="T22" s="43">
        <v>-9.0097784399999981</v>
      </c>
      <c r="U22" s="43">
        <v>-18.267814120000004</v>
      </c>
      <c r="V22" s="43">
        <v>-19.587985530000005</v>
      </c>
      <c r="W22" s="43">
        <v>-21.775002570000002</v>
      </c>
      <c r="X22" s="43">
        <v>-14.182322660000001</v>
      </c>
      <c r="Y22" s="43">
        <v>-22.118387720000001</v>
      </c>
      <c r="Z22" s="43">
        <v>-22.376940360000003</v>
      </c>
      <c r="AA22" s="43">
        <v>-23.068639080000001</v>
      </c>
      <c r="AB22" s="43">
        <v>-19.234630080000002</v>
      </c>
      <c r="AC22" s="43">
        <v>-25.951997500000001</v>
      </c>
      <c r="AD22" s="43">
        <v>-25.329593030000002</v>
      </c>
      <c r="AE22" s="43">
        <v>-7.9583244999999962</v>
      </c>
      <c r="AF22" s="43">
        <v>-14.40621734</v>
      </c>
      <c r="AG22" s="43">
        <v>-20.795866490000002</v>
      </c>
      <c r="AH22" s="43">
        <v>-21.183902500000002</v>
      </c>
      <c r="AI22" s="43">
        <v>-17.545652830000002</v>
      </c>
      <c r="AJ22" s="43">
        <f>+-10.82531167-AJ56</f>
        <v>-9.905931429999999</v>
      </c>
      <c r="AK22" s="43">
        <v>-21.106550949999999</v>
      </c>
      <c r="AL22" s="43">
        <v>-25.186136600000005</v>
      </c>
      <c r="AM22" s="43">
        <v>-26.626581519999998</v>
      </c>
      <c r="AN22" s="43">
        <v>-16.740971340000002</v>
      </c>
      <c r="AO22" s="43">
        <v>-31.017013939999998</v>
      </c>
      <c r="AP22" s="43">
        <v>-31.993431799999996</v>
      </c>
      <c r="AQ22" s="43">
        <v>-41.57</v>
      </c>
      <c r="AR22" s="43">
        <v>-21.827071390000015</v>
      </c>
      <c r="AS22" s="43">
        <v>-45.669600989999999</v>
      </c>
      <c r="AT22" s="43">
        <v>-55.7</v>
      </c>
      <c r="AU22" s="43">
        <v>-22.305689220000012</v>
      </c>
      <c r="AV22" s="43">
        <v>-19.688287360000004</v>
      </c>
      <c r="AW22" s="43">
        <v>-33.493438950000005</v>
      </c>
      <c r="AX22" s="43">
        <v>-27.649152689999994</v>
      </c>
    </row>
    <row r="23" spans="1:50">
      <c r="A23" s="1">
        <v>17</v>
      </c>
      <c r="B23" s="5" t="s">
        <v>177</v>
      </c>
      <c r="C23" s="63">
        <f t="shared" si="7"/>
        <v>-22.7</v>
      </c>
      <c r="D23" s="63">
        <f t="shared" si="8"/>
        <v>-19.961319563488289</v>
      </c>
      <c r="E23" s="35">
        <f t="shared" si="3"/>
        <v>-0.12064671526483306</v>
      </c>
      <c r="G23" s="56">
        <f t="shared" si="0"/>
        <v>17</v>
      </c>
      <c r="H23" s="5" t="s">
        <v>177</v>
      </c>
      <c r="I23" s="43">
        <v>-19.06721697</v>
      </c>
      <c r="J23" s="43">
        <v>-21.910840070000003</v>
      </c>
      <c r="K23" s="43">
        <v>-27.707132019999996</v>
      </c>
      <c r="L23" s="43">
        <v>-38.350595890000008</v>
      </c>
      <c r="M23" s="43">
        <v>-17.36380879</v>
      </c>
      <c r="N23" s="43">
        <v>-20.837634659999999</v>
      </c>
      <c r="O23" s="43">
        <v>-20.404946679999998</v>
      </c>
      <c r="P23" s="43">
        <v>-27.2</v>
      </c>
      <c r="Q23" s="43">
        <v>-16.163761940000001</v>
      </c>
      <c r="R23" s="43">
        <v>-18.221297059999998</v>
      </c>
      <c r="S23" s="43">
        <v>-18.850021900000002</v>
      </c>
      <c r="T23" s="43">
        <v>-14.534520140000001</v>
      </c>
      <c r="U23" s="43">
        <v>-19.276534640000001</v>
      </c>
      <c r="V23" s="43">
        <v>-20.162304949999999</v>
      </c>
      <c r="W23" s="43">
        <v>-24.425988220000001</v>
      </c>
      <c r="X23" s="43">
        <v>-28.84557053</v>
      </c>
      <c r="Y23" s="43">
        <v>-20.02226443</v>
      </c>
      <c r="Z23" s="43">
        <v>-22.141978789999996</v>
      </c>
      <c r="AA23" s="43">
        <v>-16.946930869999999</v>
      </c>
      <c r="AB23" s="43">
        <f>+-28.76885844-AB57</f>
        <v>-25.276053900000001</v>
      </c>
      <c r="AC23" s="43">
        <f>+-19.58196495-AC57</f>
        <v>-16.469341709999998</v>
      </c>
      <c r="AD23" s="43">
        <f>+-21.03649055-AD57</f>
        <v>-17.734178549999999</v>
      </c>
      <c r="AE23" s="43">
        <v>-16.571456010000002</v>
      </c>
      <c r="AF23" s="43">
        <f>+-23.46560624-AF57</f>
        <v>-20.113695880000002</v>
      </c>
      <c r="AG23" s="43">
        <f>+-13.36357333-AG57</f>
        <v>-11.41508732</v>
      </c>
      <c r="AH23" s="43">
        <f>+-17.51902408-AH57</f>
        <v>-14.984349530000001</v>
      </c>
      <c r="AI23" s="43">
        <f>+-12.96304668-AI57</f>
        <v>-10.719039779999999</v>
      </c>
      <c r="AJ23" s="43">
        <f>+-24.00240708-AJ57</f>
        <v>-20.103875870000003</v>
      </c>
      <c r="AK23" s="43">
        <f>+-12.00200043-AK57</f>
        <v>-10.502000430000001</v>
      </c>
      <c r="AL23" s="43">
        <v>-15.997802031244371</v>
      </c>
      <c r="AM23" s="43">
        <v>-12.1</v>
      </c>
      <c r="AN23" s="43">
        <v>-13.80962212000005</v>
      </c>
      <c r="AO23" s="43">
        <v>-13.021428770000005</v>
      </c>
      <c r="AP23" s="43">
        <v>-14.375464381631071</v>
      </c>
      <c r="AQ23" s="43">
        <v>-13.09</v>
      </c>
      <c r="AR23" s="43">
        <v>-16.66</v>
      </c>
      <c r="AS23" s="43">
        <v>-17.664421062103383</v>
      </c>
      <c r="AT23" s="43">
        <v>-22.7</v>
      </c>
      <c r="AU23" s="43">
        <v>-19.581539097677908</v>
      </c>
      <c r="AV23" s="43">
        <v>-24.150256703251269</v>
      </c>
      <c r="AW23" s="43">
        <v>-20.171174767547036</v>
      </c>
      <c r="AX23" s="43">
        <v>-19.961319563488289</v>
      </c>
    </row>
    <row r="24" spans="1:50">
      <c r="A24" s="1">
        <v>18</v>
      </c>
      <c r="C24" s="92"/>
      <c r="D24" s="92"/>
      <c r="E24" s="39"/>
      <c r="G24" s="56">
        <f t="shared" si="0"/>
        <v>18</v>
      </c>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row>
    <row r="25" spans="1:50">
      <c r="A25" s="1">
        <v>19</v>
      </c>
      <c r="B25" s="98" t="s">
        <v>178</v>
      </c>
      <c r="C25" s="101">
        <f>HLOOKUP($C$7,$H$7:$BN$33,$G25,FALSE)</f>
        <v>171.63148441124292</v>
      </c>
      <c r="D25" s="101">
        <f>HLOOKUP($D$7,$H$7:$BN$33,$G25,FALSE)</f>
        <v>167.17626169582684</v>
      </c>
      <c r="E25" s="100">
        <f t="shared" si="3"/>
        <v>-2.5958073664043013E-2</v>
      </c>
      <c r="F25" s="52"/>
      <c r="G25" s="56">
        <f t="shared" si="0"/>
        <v>19</v>
      </c>
      <c r="H25" s="98" t="s">
        <v>178</v>
      </c>
      <c r="I25" s="99">
        <f t="shared" ref="I25:AE25" si="12">I17+I10</f>
        <v>137.89374637000003</v>
      </c>
      <c r="J25" s="99">
        <f t="shared" si="12"/>
        <v>162.44525369000002</v>
      </c>
      <c r="K25" s="99">
        <f t="shared" si="12"/>
        <v>137.48338611999998</v>
      </c>
      <c r="L25" s="99">
        <f t="shared" si="12"/>
        <v>181.04590640999999</v>
      </c>
      <c r="M25" s="99">
        <f t="shared" si="12"/>
        <v>111.84702719000003</v>
      </c>
      <c r="N25" s="99">
        <f t="shared" si="12"/>
        <v>157.19356322000004</v>
      </c>
      <c r="O25" s="99">
        <f t="shared" si="12"/>
        <v>200.96953452999998</v>
      </c>
      <c r="P25" s="99">
        <f t="shared" si="12"/>
        <v>196.5</v>
      </c>
      <c r="Q25" s="99">
        <f t="shared" si="12"/>
        <v>174.20261859999999</v>
      </c>
      <c r="R25" s="99">
        <f t="shared" si="12"/>
        <v>165.02881524999998</v>
      </c>
      <c r="S25" s="99">
        <f t="shared" si="12"/>
        <v>130.51520865999996</v>
      </c>
      <c r="T25" s="99">
        <f t="shared" si="12"/>
        <v>169.52104676999997</v>
      </c>
      <c r="U25" s="99">
        <f t="shared" si="12"/>
        <v>167.14281708999997</v>
      </c>
      <c r="V25" s="99">
        <f t="shared" si="12"/>
        <v>170.80365676000002</v>
      </c>
      <c r="W25" s="99">
        <f t="shared" si="12"/>
        <v>185.34389436999996</v>
      </c>
      <c r="X25" s="99">
        <f t="shared" si="12"/>
        <v>217.99880021000004</v>
      </c>
      <c r="Y25" s="99">
        <f t="shared" si="12"/>
        <v>180.10621122000003</v>
      </c>
      <c r="Z25" s="99">
        <f t="shared" si="12"/>
        <v>167.37775774000008</v>
      </c>
      <c r="AA25" s="99">
        <f t="shared" si="12"/>
        <v>173.78870720000003</v>
      </c>
      <c r="AB25" s="99">
        <f t="shared" si="12"/>
        <v>230.59628267000002</v>
      </c>
      <c r="AC25" s="99">
        <f t="shared" si="12"/>
        <v>170.62513011000001</v>
      </c>
      <c r="AD25" s="99">
        <f t="shared" si="12"/>
        <v>178.36596232000002</v>
      </c>
      <c r="AE25" s="99">
        <f t="shared" si="12"/>
        <v>183.58786783000005</v>
      </c>
      <c r="AF25" s="99">
        <f t="shared" ref="AF25:AJ25" si="13">AF17+AF10</f>
        <v>187.48957726131368</v>
      </c>
      <c r="AG25" s="99">
        <f t="shared" si="13"/>
        <v>175.95360103000004</v>
      </c>
      <c r="AH25" s="99">
        <f t="shared" si="13"/>
        <v>166.56677347999999</v>
      </c>
      <c r="AI25" s="99">
        <f t="shared" si="13"/>
        <v>183.49524977999997</v>
      </c>
      <c r="AJ25" s="99">
        <f t="shared" si="13"/>
        <v>188.01667729907101</v>
      </c>
      <c r="AK25" s="99">
        <f>AK17+AK10</f>
        <v>151.8117141594561</v>
      </c>
      <c r="AL25" s="99">
        <f>AL17+AL10</f>
        <v>147.6328105792995</v>
      </c>
      <c r="AM25" s="99">
        <f>AM17+AM10</f>
        <v>60.766985820000031</v>
      </c>
      <c r="AN25" s="99">
        <v>177.22567208228426</v>
      </c>
      <c r="AO25" s="99">
        <v>149.74889408738284</v>
      </c>
      <c r="AP25" s="99">
        <v>162.21798289443126</v>
      </c>
      <c r="AQ25" s="99">
        <v>210.94</v>
      </c>
      <c r="AR25" s="99">
        <v>259.19456512764049</v>
      </c>
      <c r="AS25" s="99">
        <f>AS17+AS10</f>
        <v>201.37976835056162</v>
      </c>
      <c r="AT25" s="99">
        <f t="shared" ref="AT25:AW25" si="14">AT10+AT17</f>
        <v>171.63148441124292</v>
      </c>
      <c r="AU25" s="99">
        <f t="shared" si="14"/>
        <v>211.40222353701657</v>
      </c>
      <c r="AV25" s="99">
        <f t="shared" si="14"/>
        <v>172.15459329915188</v>
      </c>
      <c r="AW25" s="99">
        <f t="shared" si="14"/>
        <v>163.24660430846092</v>
      </c>
      <c r="AX25" s="99">
        <f>AX10+AX17</f>
        <v>167.17626169582684</v>
      </c>
    </row>
    <row r="26" spans="1:50">
      <c r="A26" s="1">
        <v>20</v>
      </c>
      <c r="C26" s="92"/>
      <c r="D26" s="92"/>
      <c r="E26" s="39"/>
      <c r="G26" s="56">
        <f t="shared" si="0"/>
        <v>20</v>
      </c>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row>
    <row r="27" spans="1:50">
      <c r="A27" s="1">
        <v>21</v>
      </c>
      <c r="B27" s="5" t="s">
        <v>152</v>
      </c>
      <c r="C27" s="63">
        <f>HLOOKUP($C$7,$H$7:$BN$33,$G27,FALSE)</f>
        <v>-21.1</v>
      </c>
      <c r="D27" s="63">
        <f>HLOOKUP($D$7,$H$7:$BN$33,$G27,FALSE)</f>
        <v>-20.9</v>
      </c>
      <c r="E27" s="35">
        <f t="shared" si="3"/>
        <v>-9.4786729857820884E-3</v>
      </c>
      <c r="F27" s="51"/>
      <c r="G27" s="56">
        <f t="shared" si="0"/>
        <v>21</v>
      </c>
      <c r="H27" s="5" t="s">
        <v>152</v>
      </c>
      <c r="I27" s="43">
        <v>-13.511288560000001</v>
      </c>
      <c r="J27" s="43">
        <v>-15.730694790000001</v>
      </c>
      <c r="K27" s="43">
        <v>-14.94375202</v>
      </c>
      <c r="L27" s="43">
        <v>-15.521342820000001</v>
      </c>
      <c r="M27" s="43">
        <v>-13.954037509999999</v>
      </c>
      <c r="N27" s="43">
        <v>-14.80528035</v>
      </c>
      <c r="O27" s="43">
        <v>-13.73918705</v>
      </c>
      <c r="P27" s="43">
        <v>-13.4</v>
      </c>
      <c r="Q27" s="43">
        <v>-14.19469086</v>
      </c>
      <c r="R27" s="43">
        <v>-15.02867498</v>
      </c>
      <c r="S27" s="43">
        <v>-16.110477190000001</v>
      </c>
      <c r="T27" s="43">
        <v>-16.584576090000002</v>
      </c>
      <c r="U27" s="43">
        <v>-15.693575970000001</v>
      </c>
      <c r="V27" s="43">
        <v>-16.256828450000004</v>
      </c>
      <c r="W27" s="43">
        <v>-17.746854899999999</v>
      </c>
      <c r="X27" s="43">
        <v>-21.240113520000001</v>
      </c>
      <c r="Y27" s="43">
        <v>-19.39190297</v>
      </c>
      <c r="Z27" s="43">
        <v>-18.475289360000001</v>
      </c>
      <c r="AA27" s="43">
        <v>-17.7550566</v>
      </c>
      <c r="AB27" s="43">
        <f>+-19.52008206-AB61</f>
        <v>-18.015688310000002</v>
      </c>
      <c r="AC27" s="43">
        <f>+-18.14563445-AC61</f>
        <v>-16.681628180000001</v>
      </c>
      <c r="AD27" s="43">
        <v>-17.086857370000001</v>
      </c>
      <c r="AE27" s="43">
        <v>-16.935537579999995</v>
      </c>
      <c r="AF27" s="43">
        <v>-17.459000799999998</v>
      </c>
      <c r="AG27" s="43">
        <f>+-15.10311077-AG61</f>
        <v>-13.503110770000001</v>
      </c>
      <c r="AH27" s="43">
        <f>+-15.96317607-AH61</f>
        <v>-14.437053499999999</v>
      </c>
      <c r="AI27" s="43">
        <f>+-16.54621755-AI61</f>
        <v>-15.012555730000001</v>
      </c>
      <c r="AJ27" s="43">
        <f>+-17.7444132051426-AJ61</f>
        <v>-16.2179583251426</v>
      </c>
      <c r="AK27" s="43">
        <f>+-21.2684943257862-AK61</f>
        <v>-19.428022205786199</v>
      </c>
      <c r="AL27" s="43">
        <f>+-21.5443199442137-AL61</f>
        <v>-20.045353354213699</v>
      </c>
      <c r="AM27" s="43">
        <f>+-19.2992554288968-AM61</f>
        <v>-17.735888498896799</v>
      </c>
      <c r="AN27" s="43">
        <v>-16.079637595259822</v>
      </c>
      <c r="AO27" s="43">
        <v>-17.634083860105498</v>
      </c>
      <c r="AP27" s="43">
        <v>-19.528978769894493</v>
      </c>
      <c r="AQ27" s="43">
        <v>-18.940000000000001</v>
      </c>
      <c r="AR27" s="43">
        <v>-19.090453094425904</v>
      </c>
      <c r="AS27" s="43">
        <v>-19.6959955363691</v>
      </c>
      <c r="AT27" s="43">
        <v>-21.1</v>
      </c>
      <c r="AU27" s="43">
        <v>-21.092168078135348</v>
      </c>
      <c r="AV27" s="43">
        <v>-20.021616717902926</v>
      </c>
      <c r="AW27" s="43">
        <v>-18.808456503994844</v>
      </c>
      <c r="AX27" s="43">
        <v>-20.9</v>
      </c>
    </row>
    <row r="28" spans="1:50">
      <c r="A28" s="1">
        <v>22</v>
      </c>
      <c r="B28" s="5" t="s">
        <v>179</v>
      </c>
      <c r="C28" s="63">
        <f>HLOOKUP($C$7,$H$7:$BN$33,$G28,FALSE)</f>
        <v>-16</v>
      </c>
      <c r="D28" s="63">
        <f>HLOOKUP($D$7,$H$7:$BN$33,$G28,FALSE)</f>
        <v>-14.6</v>
      </c>
      <c r="E28" s="35">
        <f t="shared" si="3"/>
        <v>-8.7500000000000022E-2</v>
      </c>
      <c r="G28" s="56">
        <f t="shared" si="0"/>
        <v>22</v>
      </c>
      <c r="H28" s="5" t="s">
        <v>179</v>
      </c>
      <c r="I28" s="43">
        <v>-4.6297593400000006</v>
      </c>
      <c r="J28" s="43">
        <v>-5.884523660000001</v>
      </c>
      <c r="K28" s="43">
        <v>-5.5682920600000001</v>
      </c>
      <c r="L28" s="43">
        <v>-6.5220293500000004</v>
      </c>
      <c r="M28" s="43">
        <v>-5.1150877699999997</v>
      </c>
      <c r="N28" s="43">
        <v>-6.0219605700000001</v>
      </c>
      <c r="O28" s="43">
        <v>-6.3402090600000003</v>
      </c>
      <c r="P28" s="43">
        <v>-11</v>
      </c>
      <c r="Q28" s="43">
        <v>-6.5020823799999965</v>
      </c>
      <c r="R28" s="43">
        <v>-8.009772479999997</v>
      </c>
      <c r="S28" s="43">
        <v>-7.9525749999999995</v>
      </c>
      <c r="T28" s="43">
        <v>-9.1727891499999981</v>
      </c>
      <c r="U28" s="43">
        <v>-8.0615386299999994</v>
      </c>
      <c r="V28" s="43">
        <v>-6.9816923099999997</v>
      </c>
      <c r="W28" s="43">
        <v>-7.0422980900000001</v>
      </c>
      <c r="X28" s="43">
        <v>-9.7220474300000017</v>
      </c>
      <c r="Y28" s="43">
        <v>-7.0583630999999993</v>
      </c>
      <c r="Z28" s="43">
        <v>-7.2230401099999986</v>
      </c>
      <c r="AA28" s="43">
        <v>-7.0517470699999993</v>
      </c>
      <c r="AB28" s="43">
        <f>+-10.4942574-AB62</f>
        <v>-9.1196006500000006</v>
      </c>
      <c r="AC28" s="43">
        <f>+-5.57047109-AC62</f>
        <v>-5.0442705099999996</v>
      </c>
      <c r="AD28" s="43">
        <v>-5.9828553699999993</v>
      </c>
      <c r="AE28" s="43">
        <v>-3.9182373899999976</v>
      </c>
      <c r="AF28" s="43">
        <v>-6.08522447</v>
      </c>
      <c r="AG28" s="43">
        <f>+-11.13666763-AG62</f>
        <v>-9.6851536399999993</v>
      </c>
      <c r="AH28" s="43">
        <f>+-10.3069637-AH62</f>
        <v>-10.39199872</v>
      </c>
      <c r="AI28" s="43">
        <f>+-10.66756838-AI62</f>
        <v>-9.15303383</v>
      </c>
      <c r="AJ28" s="43">
        <f>+-8.86662309606035-AJ62</f>
        <v>-8.1298155560603504</v>
      </c>
      <c r="AK28" s="43">
        <f>+-13.7149330412444-AK62</f>
        <v>-11.9634325012444</v>
      </c>
      <c r="AL28" s="43">
        <f>+-14.3817598902411-AL62</f>
        <v>-12.549477400241095</v>
      </c>
      <c r="AM28" s="43">
        <v>-10.8</v>
      </c>
      <c r="AN28" s="43">
        <v>-15.05374818999994</v>
      </c>
      <c r="AO28" s="43">
        <v>-11.531036829999994</v>
      </c>
      <c r="AP28" s="43">
        <v>-11.597439940000083</v>
      </c>
      <c r="AQ28" s="43">
        <v>-11.63</v>
      </c>
      <c r="AR28" s="43">
        <v>-14.44</v>
      </c>
      <c r="AS28" s="43">
        <v>-14.62311044999999</v>
      </c>
      <c r="AT28" s="43">
        <v>-16</v>
      </c>
      <c r="AU28" s="43">
        <v>-13.118692019145115</v>
      </c>
      <c r="AV28" s="43">
        <v>-15.499407698992222</v>
      </c>
      <c r="AW28" s="43">
        <v>-14.787580705413902</v>
      </c>
      <c r="AX28" s="43">
        <v>-14.6</v>
      </c>
    </row>
    <row r="29" spans="1:50">
      <c r="A29" s="1">
        <v>23</v>
      </c>
      <c r="B29" s="5" t="s">
        <v>154</v>
      </c>
      <c r="C29" s="63">
        <f>HLOOKUP($C$7,$H$7:$BN$33,$G29,FALSE)</f>
        <v>-41.8</v>
      </c>
      <c r="D29" s="63">
        <f>HLOOKUP($D$7,$H$7:$BN$33,$G29,FALSE)</f>
        <v>-42.6</v>
      </c>
      <c r="E29" s="35">
        <f t="shared" si="3"/>
        <v>1.9138755980861344E-2</v>
      </c>
      <c r="G29" s="56">
        <f t="shared" si="0"/>
        <v>23</v>
      </c>
      <c r="H29" s="5" t="s">
        <v>154</v>
      </c>
      <c r="I29" s="43">
        <v>-41.951805570000005</v>
      </c>
      <c r="J29" s="43">
        <v>-46.185509760000002</v>
      </c>
      <c r="K29" s="43">
        <v>-46.341475529999997</v>
      </c>
      <c r="L29" s="43">
        <v>-47.895657579999998</v>
      </c>
      <c r="M29" s="43">
        <v>-47.45246057</v>
      </c>
      <c r="N29" s="43">
        <v>-48.384940369999995</v>
      </c>
      <c r="O29" s="43">
        <v>-48.861872340000005</v>
      </c>
      <c r="P29" s="43">
        <v>-49</v>
      </c>
      <c r="Q29" s="43">
        <v>-47.859028649999999</v>
      </c>
      <c r="R29" s="43">
        <v>-47.103709719999998</v>
      </c>
      <c r="S29" s="43">
        <v>-49.023684110000005</v>
      </c>
      <c r="T29" s="43">
        <v>-52.043309690000001</v>
      </c>
      <c r="U29" s="43">
        <v>-51.537491310000007</v>
      </c>
      <c r="V29" s="43">
        <v>-52.338320930000002</v>
      </c>
      <c r="W29" s="43">
        <v>-51.70911498000001</v>
      </c>
      <c r="X29" s="43">
        <v>-35.670721700000001</v>
      </c>
      <c r="Y29" s="43">
        <v>-50.468340229999995</v>
      </c>
      <c r="Z29" s="43">
        <v>-50.577710360000012</v>
      </c>
      <c r="AA29" s="43">
        <v>-51.21465688</v>
      </c>
      <c r="AB29" s="43">
        <f>+-60.0190398-AB63</f>
        <v>-51.431602030000001</v>
      </c>
      <c r="AC29" s="43">
        <f>+-62.31854023-AC63</f>
        <v>-51.456948539999999</v>
      </c>
      <c r="AD29" s="43">
        <v>-52.281024099999996</v>
      </c>
      <c r="AE29" s="43">
        <v>-52.09153554000001</v>
      </c>
      <c r="AF29" s="43">
        <v>-48.783084410000029</v>
      </c>
      <c r="AG29" s="43">
        <f>+-60.57309273-AG63</f>
        <v>-49.373092729999996</v>
      </c>
      <c r="AH29" s="43">
        <f>+-60.98348462-AH63</f>
        <v>-49.504984109999995</v>
      </c>
      <c r="AI29" s="43">
        <f>+-62.10269554-AI63</f>
        <v>-49.919730049999998</v>
      </c>
      <c r="AJ29" s="43">
        <f>+-62.95540184-AJ63</f>
        <v>-51.263780879999999</v>
      </c>
      <c r="AK29" s="43">
        <f>+-55.4260933129534-AK63</f>
        <v>-46.478154362953397</v>
      </c>
      <c r="AL29" s="43">
        <f>+-52.1342169370466-AL63</f>
        <v>-43.349546447046599</v>
      </c>
      <c r="AM29" s="43">
        <v>-44.2</v>
      </c>
      <c r="AN29" s="43">
        <v>-43.716920891246126</v>
      </c>
      <c r="AO29" s="43">
        <v>-43.999264936535113</v>
      </c>
      <c r="AP29" s="43">
        <v>-46.399168885673078</v>
      </c>
      <c r="AQ29" s="43">
        <v>-45.14</v>
      </c>
      <c r="AR29" s="43">
        <v>-48.246406215271165</v>
      </c>
      <c r="AS29" s="43">
        <v>-41.61037170423436</v>
      </c>
      <c r="AT29" s="43">
        <v>-41.8</v>
      </c>
      <c r="AU29" s="43">
        <v>-41.64694816039836</v>
      </c>
      <c r="AV29" s="43">
        <v>-45.163429373454527</v>
      </c>
      <c r="AW29" s="43">
        <v>-42.106801747200095</v>
      </c>
      <c r="AX29" s="43">
        <v>-42.6</v>
      </c>
    </row>
    <row r="30" spans="1:50">
      <c r="A30" s="1">
        <v>24</v>
      </c>
      <c r="C30" s="92"/>
      <c r="D30" s="92"/>
      <c r="E30" s="39"/>
      <c r="G30" s="56">
        <f t="shared" si="0"/>
        <v>24</v>
      </c>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row>
    <row r="31" spans="1:50">
      <c r="A31" s="1">
        <v>25</v>
      </c>
      <c r="B31" s="98" t="s">
        <v>180</v>
      </c>
      <c r="C31" s="101">
        <f>HLOOKUP($C$7,$H$7:$BN$33,$G31,FALSE)</f>
        <v>92.731484411242931</v>
      </c>
      <c r="D31" s="101">
        <f>HLOOKUP($D$7,$H$7:$BN$33,$G31,FALSE)</f>
        <v>89.076261695826844</v>
      </c>
      <c r="E31" s="102">
        <f t="shared" si="3"/>
        <v>-3.9417278162031888E-2</v>
      </c>
      <c r="G31" s="56">
        <f t="shared" si="0"/>
        <v>25</v>
      </c>
      <c r="H31" s="98" t="s">
        <v>180</v>
      </c>
      <c r="I31" s="99">
        <f t="shared" ref="I31:AE31" si="15">I25+I27+I28+I29</f>
        <v>77.800892900000022</v>
      </c>
      <c r="J31" s="99">
        <f t="shared" si="15"/>
        <v>94.644525479999999</v>
      </c>
      <c r="K31" s="99">
        <f t="shared" si="15"/>
        <v>70.629866509999971</v>
      </c>
      <c r="L31" s="99">
        <f t="shared" si="15"/>
        <v>111.10687665999998</v>
      </c>
      <c r="M31" s="99">
        <f t="shared" si="15"/>
        <v>45.325441340000026</v>
      </c>
      <c r="N31" s="99">
        <f t="shared" si="15"/>
        <v>87.98138193000004</v>
      </c>
      <c r="O31" s="99">
        <f t="shared" si="15"/>
        <v>132.02826607999998</v>
      </c>
      <c r="P31" s="99">
        <f t="shared" si="15"/>
        <v>123.1</v>
      </c>
      <c r="Q31" s="99">
        <f t="shared" si="15"/>
        <v>105.64681671</v>
      </c>
      <c r="R31" s="99">
        <f t="shared" si="15"/>
        <v>94.886658069999967</v>
      </c>
      <c r="S31" s="99">
        <f t="shared" si="15"/>
        <v>57.428472359999958</v>
      </c>
      <c r="T31" s="99">
        <f t="shared" si="15"/>
        <v>91.720371839999956</v>
      </c>
      <c r="U31" s="99">
        <f t="shared" si="15"/>
        <v>91.850211179999945</v>
      </c>
      <c r="V31" s="99">
        <f t="shared" si="15"/>
        <v>95.226815070000015</v>
      </c>
      <c r="W31" s="99">
        <f t="shared" si="15"/>
        <v>108.84562639999996</v>
      </c>
      <c r="X31" s="99">
        <f t="shared" si="15"/>
        <v>151.36591756000004</v>
      </c>
      <c r="Y31" s="99">
        <f t="shared" si="15"/>
        <v>103.18760492000004</v>
      </c>
      <c r="Z31" s="99">
        <f t="shared" si="15"/>
        <v>91.101717910000062</v>
      </c>
      <c r="AA31" s="99">
        <f t="shared" si="15"/>
        <v>97.767246650000033</v>
      </c>
      <c r="AB31" s="99">
        <f t="shared" si="15"/>
        <v>152.02939168000003</v>
      </c>
      <c r="AC31" s="99">
        <f t="shared" si="15"/>
        <v>97.442282880000036</v>
      </c>
      <c r="AD31" s="99">
        <f t="shared" si="15"/>
        <v>103.01522548000003</v>
      </c>
      <c r="AE31" s="99">
        <f t="shared" si="15"/>
        <v>110.64255732000005</v>
      </c>
      <c r="AF31" s="99">
        <f>AF25+AF27+AF28+AF29</f>
        <v>115.16226758131363</v>
      </c>
      <c r="AG31" s="99">
        <f t="shared" ref="AG31:AM31" si="16">AG25+AG27+AG28+AG29</f>
        <v>103.39224389000003</v>
      </c>
      <c r="AH31" s="99">
        <f t="shared" si="16"/>
        <v>92.232737150000005</v>
      </c>
      <c r="AI31" s="99">
        <f t="shared" si="16"/>
        <v>109.40993016999997</v>
      </c>
      <c r="AJ31" s="99">
        <f t="shared" si="16"/>
        <v>112.40512253786805</v>
      </c>
      <c r="AK31" s="99">
        <f t="shared" si="16"/>
        <v>73.942105089472108</v>
      </c>
      <c r="AL31" s="99">
        <f t="shared" si="16"/>
        <v>71.688433377798106</v>
      </c>
      <c r="AM31" s="99">
        <f t="shared" si="16"/>
        <v>-11.968902678896768</v>
      </c>
      <c r="AN31" s="99">
        <f>AN25+AN27+AN28+AN29</f>
        <v>102.37536540577838</v>
      </c>
      <c r="AO31" s="99">
        <f>AO25+AO27+AO28+AO29</f>
        <v>76.584508460742228</v>
      </c>
      <c r="AP31" s="99">
        <f>AP25+AP27+AP28+AP29</f>
        <v>84.69239529886363</v>
      </c>
      <c r="AQ31" s="99">
        <f t="shared" ref="AQ31" si="17">AQ25+AQ27+AQ28+AQ29</f>
        <v>135.23000000000002</v>
      </c>
      <c r="AR31" s="99">
        <f>AR25+AR27+AR28+AR29</f>
        <v>177.41770581794344</v>
      </c>
      <c r="AS31" s="99">
        <f t="shared" ref="AS31:AU31" si="18">AS25+AS27+AS28+AS29</f>
        <v>125.45029065995817</v>
      </c>
      <c r="AT31" s="99">
        <f t="shared" si="18"/>
        <v>92.731484411242931</v>
      </c>
      <c r="AU31" s="99">
        <f t="shared" si="18"/>
        <v>135.54441527933776</v>
      </c>
      <c r="AV31" s="99">
        <f>AV25+AV27+AV28+AV29</f>
        <v>91.470139508802191</v>
      </c>
      <c r="AW31" s="99">
        <f>AW25+AW27+AW28+AW29</f>
        <v>87.543765351852088</v>
      </c>
      <c r="AX31" s="99">
        <f>AX25+AX27+AX28+AX29</f>
        <v>89.076261695826844</v>
      </c>
    </row>
    <row r="32" spans="1:50">
      <c r="A32" s="1">
        <v>26</v>
      </c>
      <c r="B32" s="40"/>
      <c r="C32" s="93"/>
      <c r="D32" s="93"/>
      <c r="E32" s="42"/>
      <c r="G32" s="56">
        <f t="shared" si="0"/>
        <v>26</v>
      </c>
      <c r="H32" s="40"/>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spans="1:51">
      <c r="A33" s="1">
        <v>27</v>
      </c>
      <c r="B33" s="98" t="s">
        <v>156</v>
      </c>
      <c r="C33" s="101">
        <f>HLOOKUP($C$7,$H$7:$BN$33,$G33,FALSE)</f>
        <v>134.53148441124293</v>
      </c>
      <c r="D33" s="101">
        <f>HLOOKUP($D$7,$H$7:$BN$33,$G33,FALSE)</f>
        <v>131.67626169582684</v>
      </c>
      <c r="E33" s="100">
        <f t="shared" si="3"/>
        <v>-2.1223453587177366E-2</v>
      </c>
      <c r="F33" s="65"/>
      <c r="G33" s="56">
        <f t="shared" si="0"/>
        <v>27</v>
      </c>
      <c r="H33" s="98" t="s">
        <v>156</v>
      </c>
      <c r="I33" s="99">
        <f t="shared" ref="I33:AE33" si="19">I31-I29</f>
        <v>119.75269847000003</v>
      </c>
      <c r="J33" s="99">
        <f t="shared" si="19"/>
        <v>140.83003524</v>
      </c>
      <c r="K33" s="99">
        <f t="shared" si="19"/>
        <v>116.97134203999997</v>
      </c>
      <c r="L33" s="99">
        <f t="shared" si="19"/>
        <v>159.00253423999999</v>
      </c>
      <c r="M33" s="99">
        <f t="shared" si="19"/>
        <v>92.777901910000026</v>
      </c>
      <c r="N33" s="99">
        <f t="shared" si="19"/>
        <v>136.36632230000004</v>
      </c>
      <c r="O33" s="99">
        <f t="shared" si="19"/>
        <v>180.89013841999997</v>
      </c>
      <c r="P33" s="99">
        <f t="shared" si="19"/>
        <v>172.1</v>
      </c>
      <c r="Q33" s="99">
        <f t="shared" si="19"/>
        <v>153.50584536</v>
      </c>
      <c r="R33" s="99">
        <f t="shared" si="19"/>
        <v>141.99036778999996</v>
      </c>
      <c r="S33" s="99">
        <f t="shared" si="19"/>
        <v>106.45215646999996</v>
      </c>
      <c r="T33" s="99">
        <f t="shared" si="19"/>
        <v>143.76368152999996</v>
      </c>
      <c r="U33" s="99">
        <f t="shared" si="19"/>
        <v>143.38770248999995</v>
      </c>
      <c r="V33" s="99">
        <f t="shared" si="19"/>
        <v>147.56513600000002</v>
      </c>
      <c r="W33" s="99">
        <f t="shared" si="19"/>
        <v>160.55474137999997</v>
      </c>
      <c r="X33" s="99">
        <f t="shared" si="19"/>
        <v>187.03663926000004</v>
      </c>
      <c r="Y33" s="99">
        <f t="shared" si="19"/>
        <v>153.65594515000004</v>
      </c>
      <c r="Z33" s="99">
        <f t="shared" si="19"/>
        <v>141.67942827000007</v>
      </c>
      <c r="AA33" s="99">
        <f t="shared" si="19"/>
        <v>148.98190353000004</v>
      </c>
      <c r="AB33" s="99">
        <f t="shared" si="19"/>
        <v>203.46099371000003</v>
      </c>
      <c r="AC33" s="99">
        <f t="shared" si="19"/>
        <v>148.89923142000004</v>
      </c>
      <c r="AD33" s="99">
        <f t="shared" si="19"/>
        <v>155.29624958000002</v>
      </c>
      <c r="AE33" s="99">
        <f t="shared" si="19"/>
        <v>162.73409286000006</v>
      </c>
      <c r="AF33" s="99">
        <f>AF31-AF29</f>
        <v>163.94535199131366</v>
      </c>
      <c r="AG33" s="99">
        <f>172.34723633-AG67</f>
        <v>152.76533661999997</v>
      </c>
      <c r="AH33" s="99">
        <f>155.26443032-AH67</f>
        <v>141.73772126</v>
      </c>
      <c r="AI33" s="99">
        <f>174.98602269-AI67</f>
        <v>159.32966021999999</v>
      </c>
      <c r="AJ33" s="99">
        <f>AJ31-AJ29</f>
        <v>163.66890341786805</v>
      </c>
      <c r="AK33" s="99">
        <f>137.354311322426-AK67</f>
        <v>120.42025945242602</v>
      </c>
      <c r="AL33" s="99">
        <v>115.09148957484453</v>
      </c>
      <c r="AM33" s="99">
        <f>71.84-AM67</f>
        <v>51.977266710000002</v>
      </c>
      <c r="AN33" s="99">
        <v>146.092286297025</v>
      </c>
      <c r="AO33" s="99">
        <f t="shared" ref="AO33:AT33" si="20">AO31-AO29</f>
        <v>120.58377339727734</v>
      </c>
      <c r="AP33" s="99">
        <f t="shared" si="20"/>
        <v>131.09156418453671</v>
      </c>
      <c r="AQ33" s="99">
        <f t="shared" si="20"/>
        <v>180.37</v>
      </c>
      <c r="AR33" s="99">
        <f t="shared" si="20"/>
        <v>225.66411203321462</v>
      </c>
      <c r="AS33" s="99">
        <f t="shared" si="20"/>
        <v>167.06066236419252</v>
      </c>
      <c r="AT33" s="99">
        <f t="shared" si="20"/>
        <v>134.53148441124293</v>
      </c>
      <c r="AU33" s="99">
        <f>AU31-AU29</f>
        <v>177.19136343973611</v>
      </c>
      <c r="AV33" s="99">
        <f>AV31-AV29</f>
        <v>136.63356888225672</v>
      </c>
      <c r="AW33" s="99">
        <f>AW31-AW29</f>
        <v>129.65056709905218</v>
      </c>
      <c r="AX33" s="99">
        <f>AX31-AX29</f>
        <v>131.67626169582684</v>
      </c>
    </row>
    <row r="34" spans="1:51">
      <c r="AY34" s="95"/>
    </row>
    <row r="35" spans="1:51">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40"/>
    </row>
    <row r="36" spans="1:51">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row>
    <row r="37" spans="1:51" ht="28.5" customHeight="1">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row>
    <row r="38" spans="1:51" ht="28.5" customHeight="1">
      <c r="B38" s="71"/>
      <c r="C38" s="71"/>
      <c r="D38" s="71"/>
      <c r="E38" s="81"/>
      <c r="F38" s="71"/>
      <c r="G38" s="94"/>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row>
    <row r="39" spans="1:51" ht="28.5" customHeight="1"/>
    <row r="40" spans="1:51" ht="23.5">
      <c r="B40" s="11" t="s">
        <v>37</v>
      </c>
      <c r="C40" s="12"/>
      <c r="D40" s="12"/>
      <c r="E40" s="12"/>
      <c r="H40" s="11" t="s">
        <v>37</v>
      </c>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row>
    <row r="41" spans="1:51" ht="9" customHeight="1"/>
    <row r="42" spans="1:51" s="131" customFormat="1">
      <c r="A42" s="131">
        <v>1</v>
      </c>
      <c r="B42" s="3" t="s">
        <v>172</v>
      </c>
      <c r="C42" s="138" t="str">
        <f>C7</f>
        <v>2Q23</v>
      </c>
      <c r="D42" s="138" t="str">
        <f>D7</f>
        <v>2Q24</v>
      </c>
      <c r="E42" s="138" t="s">
        <v>223</v>
      </c>
      <c r="G42" s="132">
        <v>1</v>
      </c>
      <c r="H42" s="3" t="s">
        <v>181</v>
      </c>
      <c r="I42" s="138" t="s">
        <v>76</v>
      </c>
      <c r="J42" s="138" t="s">
        <v>77</v>
      </c>
      <c r="K42" s="138" t="s">
        <v>78</v>
      </c>
      <c r="L42" s="138" t="s">
        <v>79</v>
      </c>
      <c r="M42" s="138" t="s">
        <v>80</v>
      </c>
      <c r="N42" s="138" t="s">
        <v>81</v>
      </c>
      <c r="O42" s="138" t="s">
        <v>82</v>
      </c>
      <c r="P42" s="138" t="s">
        <v>83</v>
      </c>
      <c r="Q42" s="138" t="s">
        <v>84</v>
      </c>
      <c r="R42" s="138" t="s">
        <v>85</v>
      </c>
      <c r="S42" s="138" t="s">
        <v>86</v>
      </c>
      <c r="T42" s="138" t="s">
        <v>87</v>
      </c>
      <c r="U42" s="138" t="s">
        <v>88</v>
      </c>
      <c r="V42" s="138" t="s">
        <v>89</v>
      </c>
      <c r="W42" s="138" t="s">
        <v>90</v>
      </c>
      <c r="X42" s="138" t="s">
        <v>91</v>
      </c>
      <c r="Y42" s="138" t="s">
        <v>92</v>
      </c>
      <c r="Z42" s="138" t="s">
        <v>93</v>
      </c>
      <c r="AA42" s="138" t="s">
        <v>94</v>
      </c>
      <c r="AB42" s="138" t="s">
        <v>95</v>
      </c>
      <c r="AC42" s="138" t="s">
        <v>96</v>
      </c>
      <c r="AD42" s="138" t="s">
        <v>139</v>
      </c>
      <c r="AE42" s="138" t="s">
        <v>182</v>
      </c>
      <c r="AF42" s="138" t="s">
        <v>183</v>
      </c>
      <c r="AG42" s="138" t="s">
        <v>100</v>
      </c>
      <c r="AH42" s="138" t="s">
        <v>101</v>
      </c>
      <c r="AI42" s="138" t="s">
        <v>102</v>
      </c>
      <c r="AJ42" s="138" t="s">
        <v>103</v>
      </c>
      <c r="AK42" s="138" t="s">
        <v>104</v>
      </c>
      <c r="AL42" s="138" t="s">
        <v>105</v>
      </c>
      <c r="AM42" s="138" t="s">
        <v>106</v>
      </c>
      <c r="AN42" s="138" t="s">
        <v>107</v>
      </c>
      <c r="AO42" s="138" t="s">
        <v>108</v>
      </c>
      <c r="AP42" s="138" t="s">
        <v>109</v>
      </c>
      <c r="AQ42" s="138" t="s">
        <v>110</v>
      </c>
      <c r="AR42" s="138" t="s">
        <v>111</v>
      </c>
      <c r="AS42" s="138" t="s">
        <v>73</v>
      </c>
      <c r="AT42" s="138" t="s">
        <v>112</v>
      </c>
      <c r="AU42" s="138" t="s">
        <v>113</v>
      </c>
      <c r="AV42" s="138" t="s">
        <v>114</v>
      </c>
      <c r="AW42" s="138" t="s">
        <v>74</v>
      </c>
      <c r="AX42" s="138" t="s">
        <v>221</v>
      </c>
    </row>
    <row r="43" spans="1:51" s="131" customFormat="1">
      <c r="A43" s="131">
        <v>2</v>
      </c>
      <c r="B43" s="3" t="s">
        <v>140</v>
      </c>
      <c r="C43" s="138"/>
      <c r="D43" s="138"/>
      <c r="E43" s="138"/>
      <c r="G43" s="132">
        <f>G42+1</f>
        <v>2</v>
      </c>
      <c r="H43" s="3" t="s">
        <v>140</v>
      </c>
      <c r="I43" s="138"/>
      <c r="J43" s="138"/>
      <c r="K43" s="138"/>
      <c r="L43" s="138"/>
      <c r="M43" s="138"/>
      <c r="N43" s="138"/>
      <c r="O43" s="138"/>
      <c r="P43" s="138"/>
      <c r="Q43" s="138"/>
      <c r="R43" s="138"/>
      <c r="S43" s="138"/>
      <c r="T43" s="138"/>
      <c r="U43" s="138"/>
      <c r="V43" s="138"/>
      <c r="W43" s="138"/>
      <c r="X43" s="138"/>
      <c r="Y43" s="138"/>
      <c r="Z43" s="138"/>
      <c r="AA43" s="138"/>
      <c r="AB43" s="138"/>
      <c r="AC43" s="138" t="s">
        <v>96</v>
      </c>
      <c r="AD43" s="138" t="s">
        <v>96</v>
      </c>
      <c r="AE43" s="138" t="s">
        <v>96</v>
      </c>
      <c r="AF43" s="138" t="s">
        <v>96</v>
      </c>
      <c r="AG43" s="138"/>
      <c r="AH43" s="138"/>
      <c r="AI43" s="138"/>
      <c r="AJ43" s="138" t="s">
        <v>96</v>
      </c>
      <c r="AK43" s="138"/>
      <c r="AL43" s="138"/>
      <c r="AM43" s="138"/>
      <c r="AN43" s="138"/>
      <c r="AO43" s="138"/>
      <c r="AP43" s="138"/>
      <c r="AQ43" s="138"/>
      <c r="AR43" s="138"/>
      <c r="AS43" s="138"/>
      <c r="AT43" s="138"/>
      <c r="AU43" s="138"/>
      <c r="AV43" s="138"/>
      <c r="AW43" s="138"/>
      <c r="AX43" s="138"/>
    </row>
    <row r="44" spans="1:51" ht="6.75" customHeight="1">
      <c r="A44" s="1">
        <v>3</v>
      </c>
      <c r="G44" s="56">
        <f t="shared" ref="G44:G67" si="21">G43+1</f>
        <v>3</v>
      </c>
    </row>
    <row r="45" spans="1:51">
      <c r="A45" s="1">
        <v>4</v>
      </c>
      <c r="B45" s="98" t="s">
        <v>172</v>
      </c>
      <c r="C45" s="99">
        <f t="shared" ref="C45:C50" si="22">HLOOKUP($C$42,$H$42:$BG$67,$G45,FALSE)</f>
        <v>63.674510569999995</v>
      </c>
      <c r="D45" s="99">
        <f t="shared" ref="D45:D50" si="23">HLOOKUP($D$42,$H$42:$BG$67,$G45,FALSE)</f>
        <v>53.065952310000007</v>
      </c>
      <c r="E45" s="103">
        <f>D45/C45-1</f>
        <v>-0.16660604321940675</v>
      </c>
      <c r="G45" s="56">
        <f t="shared" si="21"/>
        <v>4</v>
      </c>
      <c r="H45" s="98" t="s">
        <v>172</v>
      </c>
      <c r="I45" s="104"/>
      <c r="J45" s="104"/>
      <c r="K45" s="104"/>
      <c r="L45" s="104"/>
      <c r="M45" s="104"/>
      <c r="N45" s="104"/>
      <c r="O45" s="104"/>
      <c r="P45" s="104"/>
      <c r="Q45" s="99">
        <f t="shared" ref="Q45:X45" si="24">SUM(Q46:Q50)</f>
        <v>55.583655499999999</v>
      </c>
      <c r="R45" s="99">
        <f t="shared" si="24"/>
        <v>54.9629184</v>
      </c>
      <c r="S45" s="99">
        <f t="shared" si="24"/>
        <v>49.082694860000004</v>
      </c>
      <c r="T45" s="99">
        <f t="shared" si="24"/>
        <v>57.097280980000001</v>
      </c>
      <c r="U45" s="99">
        <f t="shared" si="24"/>
        <v>47.636293819999999</v>
      </c>
      <c r="V45" s="99">
        <f t="shared" si="24"/>
        <v>46.971507459999998</v>
      </c>
      <c r="W45" s="99">
        <f t="shared" si="24"/>
        <v>51.493997259999993</v>
      </c>
      <c r="X45" s="99">
        <f t="shared" si="24"/>
        <v>46.735641690000008</v>
      </c>
      <c r="Y45" s="99">
        <f t="shared" ref="Y45:AE45" si="25">SUM(Y46:Y50)</f>
        <v>52.673049919999997</v>
      </c>
      <c r="Z45" s="99">
        <f t="shared" si="25"/>
        <v>52.289317230000002</v>
      </c>
      <c r="AA45" s="99">
        <f t="shared" si="25"/>
        <v>40.085187489999996</v>
      </c>
      <c r="AB45" s="99">
        <f t="shared" si="25"/>
        <v>38.385628109999999</v>
      </c>
      <c r="AC45" s="99">
        <f t="shared" si="25"/>
        <v>41.960275469999999</v>
      </c>
      <c r="AD45" s="99">
        <f t="shared" si="25"/>
        <v>41.306034390000001</v>
      </c>
      <c r="AE45" s="99">
        <f t="shared" si="25"/>
        <v>44.203243349999994</v>
      </c>
      <c r="AF45" s="99">
        <f t="shared" ref="AF45:AM45" si="26">SUM(AF46:AF50)</f>
        <v>47.314848999999995</v>
      </c>
      <c r="AG45" s="99">
        <f t="shared" si="26"/>
        <v>37.681899710000003</v>
      </c>
      <c r="AH45" s="99">
        <f t="shared" si="26"/>
        <v>34.790087870000001</v>
      </c>
      <c r="AI45" s="99">
        <f t="shared" si="26"/>
        <v>42.889557519999997</v>
      </c>
      <c r="AJ45" s="99">
        <f t="shared" si="26"/>
        <v>44.078781450000001</v>
      </c>
      <c r="AK45" s="99">
        <f t="shared" si="26"/>
        <v>37.959551309999995</v>
      </c>
      <c r="AL45" s="99">
        <f t="shared" si="26"/>
        <v>39.865567810000002</v>
      </c>
      <c r="AM45" s="99">
        <f t="shared" si="26"/>
        <v>48.977401450000002</v>
      </c>
      <c r="AN45" s="99">
        <f>SUM(AN46:AN50)</f>
        <v>45.018566209999996</v>
      </c>
      <c r="AO45" s="99">
        <f>SUM(AO46:AO50)</f>
        <v>55.119108129999994</v>
      </c>
      <c r="AP45" s="99">
        <f t="shared" ref="AP45:AR45" si="27">SUM(AP46:AP50)</f>
        <v>52.990921339999993</v>
      </c>
      <c r="AQ45" s="99">
        <f t="shared" si="27"/>
        <v>59.16</v>
      </c>
      <c r="AR45" s="99">
        <f t="shared" si="27"/>
        <v>85.251319180000024</v>
      </c>
      <c r="AS45" s="99">
        <v>59.551101580000008</v>
      </c>
      <c r="AT45" s="99">
        <v>63.674510569999995</v>
      </c>
      <c r="AU45" s="99">
        <f>SUM(AU46:AU51)</f>
        <v>126.55246784000001</v>
      </c>
      <c r="AV45" s="99">
        <v>62.456728449999957</v>
      </c>
      <c r="AW45" s="99">
        <f>SUM(AW46:AW50)</f>
        <v>50.880384659999997</v>
      </c>
      <c r="AX45" s="99">
        <f>SUM(AX46:AX50)</f>
        <v>53.065952310000007</v>
      </c>
    </row>
    <row r="46" spans="1:51">
      <c r="A46" s="1">
        <v>5</v>
      </c>
      <c r="B46" s="5" t="s">
        <v>173</v>
      </c>
      <c r="C46" s="7">
        <f t="shared" si="22"/>
        <v>40.48225747</v>
      </c>
      <c r="D46" s="7">
        <f t="shared" si="23"/>
        <v>22.21226522000001</v>
      </c>
      <c r="E46" s="35">
        <f>D46/C46-1</f>
        <v>-0.45130863227030382</v>
      </c>
      <c r="G46" s="56">
        <f t="shared" si="21"/>
        <v>5</v>
      </c>
      <c r="H46" s="5" t="s">
        <v>173</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c r="AP46" s="7">
        <v>35.654689489999996</v>
      </c>
      <c r="AQ46" s="7">
        <v>36.049999999999997</v>
      </c>
      <c r="AR46" s="7">
        <v>38.99920877000001</v>
      </c>
      <c r="AS46" s="7">
        <v>40.230762770000005</v>
      </c>
      <c r="AT46" s="7">
        <v>40.48225747</v>
      </c>
      <c r="AU46" s="7">
        <v>38.098906320000005</v>
      </c>
      <c r="AV46" s="7">
        <v>40.60102521999999</v>
      </c>
      <c r="AW46" s="7">
        <v>23.754069259999998</v>
      </c>
      <c r="AX46" s="7">
        <v>22.21226522000001</v>
      </c>
    </row>
    <row r="47" spans="1:51">
      <c r="A47" s="1">
        <v>6</v>
      </c>
      <c r="B47" s="5" t="s">
        <v>174</v>
      </c>
      <c r="C47" s="7">
        <f t="shared" si="22"/>
        <v>19.834535929999998</v>
      </c>
      <c r="D47" s="7">
        <f t="shared" si="23"/>
        <v>18.587312760000003</v>
      </c>
      <c r="E47" s="35">
        <f t="shared" ref="E47:E50" si="28">D47/C47-1</f>
        <v>-6.2881389027789281E-2</v>
      </c>
      <c r="G47" s="56">
        <f t="shared" si="21"/>
        <v>6</v>
      </c>
      <c r="H47" s="5" t="s">
        <v>174</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c r="AP47" s="7">
        <v>4.65102745</v>
      </c>
      <c r="AQ47" s="7">
        <v>4.84</v>
      </c>
      <c r="AR47" s="7">
        <v>5.3602715899999991</v>
      </c>
      <c r="AS47" s="7">
        <v>15.25510736</v>
      </c>
      <c r="AT47" s="7">
        <v>19.834535929999998</v>
      </c>
      <c r="AU47" s="7">
        <v>36.487683440000012</v>
      </c>
      <c r="AV47" s="7">
        <v>14.814519709999985</v>
      </c>
      <c r="AW47" s="7">
        <v>15.194761579999998</v>
      </c>
      <c r="AX47" s="7">
        <v>18.587312760000003</v>
      </c>
    </row>
    <row r="48" spans="1:51">
      <c r="A48" s="1">
        <v>7</v>
      </c>
      <c r="B48" s="5" t="s">
        <v>175</v>
      </c>
      <c r="C48" s="7">
        <f t="shared" si="22"/>
        <v>3.0821299999999052E-3</v>
      </c>
      <c r="D48" s="7">
        <f t="shared" si="23"/>
        <v>8.7138176699999974</v>
      </c>
      <c r="E48" s="47" t="s">
        <v>131</v>
      </c>
      <c r="G48" s="56">
        <f t="shared" si="21"/>
        <v>7</v>
      </c>
      <c r="H48" s="5" t="s">
        <v>184</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c r="AP48" s="7">
        <v>10.922443899999998</v>
      </c>
      <c r="AQ48" s="7">
        <v>16.989999999999998</v>
      </c>
      <c r="AR48" s="7">
        <v>39.128817650000016</v>
      </c>
      <c r="AS48" s="7">
        <v>1.8207082800000001</v>
      </c>
      <c r="AT48" s="7">
        <v>3.0821299999999052E-3</v>
      </c>
      <c r="AU48" s="7">
        <v>50.08581753</v>
      </c>
      <c r="AV48" s="7">
        <v>5.917764819999995</v>
      </c>
      <c r="AW48" s="7">
        <v>8.55179373</v>
      </c>
      <c r="AX48" s="7">
        <v>8.7138176699999974</v>
      </c>
    </row>
    <row r="49" spans="1:50">
      <c r="A49" s="1">
        <v>8</v>
      </c>
      <c r="B49" s="5" t="s">
        <v>145</v>
      </c>
      <c r="C49" s="87" t="str">
        <f t="shared" si="22"/>
        <v>-</v>
      </c>
      <c r="D49" s="87" t="str">
        <f t="shared" si="23"/>
        <v>-</v>
      </c>
      <c r="E49" s="47" t="s">
        <v>131</v>
      </c>
      <c r="G49" s="56">
        <f t="shared" si="21"/>
        <v>8</v>
      </c>
      <c r="H49" s="5" t="s">
        <v>145</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58">
        <v>0</v>
      </c>
      <c r="AG49" s="58">
        <v>0</v>
      </c>
      <c r="AH49" s="58"/>
      <c r="AI49" s="58"/>
      <c r="AJ49" s="58"/>
      <c r="AK49" s="58">
        <v>0</v>
      </c>
      <c r="AL49" s="58">
        <v>0</v>
      </c>
      <c r="AM49" s="58">
        <v>0</v>
      </c>
      <c r="AN49" s="58">
        <v>0</v>
      </c>
      <c r="AO49" s="58">
        <v>0</v>
      </c>
      <c r="AP49" s="58">
        <v>0</v>
      </c>
      <c r="AQ49" s="58">
        <v>0</v>
      </c>
      <c r="AR49" s="58">
        <v>0</v>
      </c>
      <c r="AS49" s="58">
        <v>0</v>
      </c>
      <c r="AT49" s="87" t="s">
        <v>131</v>
      </c>
      <c r="AU49" s="87" t="s">
        <v>131</v>
      </c>
      <c r="AV49" s="87">
        <v>0</v>
      </c>
      <c r="AW49" s="87">
        <v>0</v>
      </c>
      <c r="AX49" s="87" t="s">
        <v>131</v>
      </c>
    </row>
    <row r="50" spans="1:50">
      <c r="A50" s="1">
        <v>9</v>
      </c>
      <c r="B50" s="5" t="s">
        <v>143</v>
      </c>
      <c r="C50" s="7">
        <f t="shared" si="22"/>
        <v>3.3546350399999998</v>
      </c>
      <c r="D50" s="7">
        <f t="shared" si="23"/>
        <v>3.55255666</v>
      </c>
      <c r="E50" s="35">
        <f t="shared" si="28"/>
        <v>5.8999449311183616E-2</v>
      </c>
      <c r="G50" s="56">
        <f t="shared" si="21"/>
        <v>9</v>
      </c>
      <c r="H50" s="5" t="s">
        <v>143</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c r="AP50" s="7">
        <v>1.7627605000000006</v>
      </c>
      <c r="AQ50" s="7">
        <v>1.28</v>
      </c>
      <c r="AR50" s="7">
        <v>1.76302117</v>
      </c>
      <c r="AS50" s="7">
        <v>2.2445231699999999</v>
      </c>
      <c r="AT50" s="7">
        <v>3.3546350399999998</v>
      </c>
      <c r="AU50" s="7">
        <v>1.8800605500000005</v>
      </c>
      <c r="AV50" s="7">
        <v>1.1234187000000002</v>
      </c>
      <c r="AW50" s="7">
        <v>3.37976009</v>
      </c>
      <c r="AX50" s="7">
        <v>3.55255666</v>
      </c>
    </row>
    <row r="51" spans="1:50" ht="4.5" customHeight="1">
      <c r="A51" s="1">
        <v>10</v>
      </c>
      <c r="G51" s="56">
        <f t="shared" si="21"/>
        <v>10</v>
      </c>
    </row>
    <row r="52" spans="1:50">
      <c r="A52" s="1">
        <v>11</v>
      </c>
      <c r="B52" s="98" t="s">
        <v>176</v>
      </c>
      <c r="C52" s="99">
        <f t="shared" ref="C52:C57" si="29">HLOOKUP($C$42,$H$42:$BG$67,$G52,FALSE)</f>
        <v>-59.333584059999993</v>
      </c>
      <c r="D52" s="99">
        <f t="shared" ref="D52:D57" si="30">HLOOKUP($D$42,$H$42:$BG$67,$G52,FALSE)</f>
        <v>-28.18843378</v>
      </c>
      <c r="E52" s="103">
        <f>D52/C52-1</f>
        <v>-0.52491604499241162</v>
      </c>
      <c r="G52" s="56">
        <f t="shared" si="21"/>
        <v>11</v>
      </c>
      <c r="H52" s="98" t="s">
        <v>176</v>
      </c>
      <c r="I52" s="104"/>
      <c r="J52" s="104"/>
      <c r="K52" s="104"/>
      <c r="L52" s="104"/>
      <c r="M52" s="104"/>
      <c r="N52" s="104"/>
      <c r="O52" s="104"/>
      <c r="P52" s="104"/>
      <c r="Q52" s="99">
        <f t="shared" ref="Q52:X52" si="31">SUM(Q53:Q57)</f>
        <v>-32.306038980000004</v>
      </c>
      <c r="R52" s="99">
        <f t="shared" si="31"/>
        <v>-41.795531619999998</v>
      </c>
      <c r="S52" s="99">
        <f t="shared" si="31"/>
        <v>-30.759452379999999</v>
      </c>
      <c r="T52" s="99">
        <f t="shared" si="31"/>
        <v>-39.480105159999994</v>
      </c>
      <c r="U52" s="99">
        <f t="shared" si="31"/>
        <v>-34.353933659999996</v>
      </c>
      <c r="V52" s="99">
        <f t="shared" si="31"/>
        <v>-33.9733351</v>
      </c>
      <c r="W52" s="99">
        <f t="shared" si="31"/>
        <v>-35.661452799999999</v>
      </c>
      <c r="X52" s="99">
        <f t="shared" si="31"/>
        <v>-37.405603590000005</v>
      </c>
      <c r="Y52" s="99">
        <f t="shared" ref="Y52:AE52" si="32">SUM(Y53:Y57)</f>
        <v>-40.773118190000005</v>
      </c>
      <c r="Z52" s="99">
        <f t="shared" si="32"/>
        <v>-37.811925799999997</v>
      </c>
      <c r="AA52" s="99">
        <f t="shared" si="32"/>
        <v>-30.209554599999997</v>
      </c>
      <c r="AB52" s="99">
        <f>+SUM(AB53:AB57)</f>
        <v>-28.78228824</v>
      </c>
      <c r="AC52" s="99">
        <f t="shared" si="32"/>
        <v>-23.492882950000002</v>
      </c>
      <c r="AD52" s="99">
        <f t="shared" si="32"/>
        <v>-20.57628506</v>
      </c>
      <c r="AE52" s="99">
        <f t="shared" si="32"/>
        <v>-26.275369099999999</v>
      </c>
      <c r="AF52" s="99">
        <f t="shared" ref="AF52:AO52" si="33">SUM(AF53:AF57)</f>
        <v>-25.377440749999998</v>
      </c>
      <c r="AG52" s="99">
        <f t="shared" si="33"/>
        <v>-15.04848601</v>
      </c>
      <c r="AH52" s="99">
        <f t="shared" si="33"/>
        <v>-19.82229126</v>
      </c>
      <c r="AI52" s="99">
        <f t="shared" si="33"/>
        <v>-24.184998679999996</v>
      </c>
      <c r="AJ52" s="99">
        <f t="shared" si="33"/>
        <v>-25.542623639999995</v>
      </c>
      <c r="AK52" s="99">
        <f t="shared" si="33"/>
        <v>-17.433526780000001</v>
      </c>
      <c r="AL52" s="99">
        <f t="shared" si="33"/>
        <v>-22.079148879999995</v>
      </c>
      <c r="AM52" s="99">
        <f t="shared" si="33"/>
        <v>-25.808040840000004</v>
      </c>
      <c r="AN52" s="99">
        <f t="shared" si="33"/>
        <v>-23.148096080000023</v>
      </c>
      <c r="AO52" s="99">
        <f t="shared" si="33"/>
        <v>-25.704476410000002</v>
      </c>
      <c r="AP52" s="99">
        <f t="shared" ref="AP52:AR52" si="34">SUM(AP53:AP57)</f>
        <v>-27.852227609999996</v>
      </c>
      <c r="AQ52" s="99">
        <f t="shared" si="34"/>
        <v>-30.58</v>
      </c>
      <c r="AR52" s="99">
        <f t="shared" si="34"/>
        <v>-46.144247429999979</v>
      </c>
      <c r="AS52" s="99">
        <v>-29.944832589999997</v>
      </c>
      <c r="AT52" s="99">
        <v>-59.333584059999993</v>
      </c>
      <c r="AU52" s="99">
        <v>-72.648754730000036</v>
      </c>
      <c r="AV52" s="99">
        <v>-33.400281579999984</v>
      </c>
      <c r="AW52" s="99">
        <f>SUM(AW53:AW57)</f>
        <v>-28.531815300000002</v>
      </c>
      <c r="AX52" s="99">
        <f>SUM(AX53:AX57)</f>
        <v>-28.18843378</v>
      </c>
    </row>
    <row r="53" spans="1:50">
      <c r="A53" s="1">
        <v>12</v>
      </c>
      <c r="B53" s="5" t="s">
        <v>145</v>
      </c>
      <c r="C53" s="43">
        <f t="shared" si="29"/>
        <v>-0.80572697000000004</v>
      </c>
      <c r="D53" s="43">
        <f t="shared" si="30"/>
        <v>-1.1802191899999999</v>
      </c>
      <c r="E53" s="35">
        <f t="shared" ref="E53:E57" si="35">D53/C53-1</f>
        <v>0.46478799139614235</v>
      </c>
      <c r="G53" s="56">
        <f t="shared" si="21"/>
        <v>12</v>
      </c>
      <c r="H53" s="5" t="s">
        <v>145</v>
      </c>
      <c r="I53" s="7"/>
      <c r="J53" s="7"/>
      <c r="K53" s="7"/>
      <c r="L53" s="7"/>
      <c r="M53" s="7"/>
      <c r="N53" s="7"/>
      <c r="O53" s="7"/>
      <c r="P53" s="7"/>
      <c r="Q53" s="43">
        <v>-8.6869376099999993</v>
      </c>
      <c r="R53" s="43">
        <v>-10.98468411</v>
      </c>
      <c r="S53" s="43">
        <v>-7.5221053799999993</v>
      </c>
      <c r="T53" s="43">
        <v>-8.4976941799999999</v>
      </c>
      <c r="U53" s="43">
        <v>-8.7930702800000002</v>
      </c>
      <c r="V53" s="43">
        <v>-8.4213767199999996</v>
      </c>
      <c r="W53" s="43">
        <v>-9.6291035800000007</v>
      </c>
      <c r="X53" s="43">
        <v>-10.23718113</v>
      </c>
      <c r="Y53" s="43">
        <v>-10.758186589999999</v>
      </c>
      <c r="Z53" s="43">
        <v>-10.957769000000001</v>
      </c>
      <c r="AA53" s="43">
        <v>-0.66157777000000095</v>
      </c>
      <c r="AB53" s="43"/>
      <c r="AC53" s="43">
        <v>-0.49616329999999997</v>
      </c>
      <c r="AD53" s="43">
        <v>-0.73033623999999997</v>
      </c>
      <c r="AE53" s="43">
        <v>-1.3071812600000001</v>
      </c>
      <c r="AF53" s="43">
        <v>-0.91939967999999994</v>
      </c>
      <c r="AG53" s="43">
        <v>-0.7</v>
      </c>
      <c r="AH53" s="43">
        <v>-2.2193861799999999</v>
      </c>
      <c r="AI53" s="43">
        <v>-1.2449280699999998</v>
      </c>
      <c r="AJ53" s="43">
        <v>-1.1551104400000001</v>
      </c>
      <c r="AK53" s="43">
        <v>-0.42041494000000001</v>
      </c>
      <c r="AL53" s="43">
        <v>-1.3291058100000002</v>
      </c>
      <c r="AM53" s="43">
        <v>-1.4726724600000001</v>
      </c>
      <c r="AN53" s="43">
        <v>-1.450856120000001</v>
      </c>
      <c r="AO53" s="43">
        <v>-1.7283915600000002</v>
      </c>
      <c r="AP53" s="43">
        <v>-1.42084948</v>
      </c>
      <c r="AQ53" s="43">
        <v>-1.32</v>
      </c>
      <c r="AR53" s="43">
        <v>-1.5175163499999991</v>
      </c>
      <c r="AS53" s="43">
        <v>-1.01663426</v>
      </c>
      <c r="AT53" s="43">
        <v>-0.80572697000000004</v>
      </c>
      <c r="AU53" s="43">
        <v>-1.5422476599999999</v>
      </c>
      <c r="AV53" s="43">
        <v>-1.2958125899999999</v>
      </c>
      <c r="AW53" s="43">
        <v>-1.3168588799999998</v>
      </c>
      <c r="AX53" s="43">
        <v>-1.1802191899999999</v>
      </c>
    </row>
    <row r="54" spans="1:50">
      <c r="A54" s="1">
        <v>13</v>
      </c>
      <c r="B54" s="5" t="s">
        <v>146</v>
      </c>
      <c r="C54" s="43">
        <f t="shared" si="29"/>
        <v>-37.991961079999996</v>
      </c>
      <c r="D54" s="43">
        <f t="shared" si="30"/>
        <v>-0.56569513999999987</v>
      </c>
      <c r="E54" s="35">
        <f t="shared" si="35"/>
        <v>-0.98511013583087192</v>
      </c>
      <c r="G54" s="56">
        <f t="shared" si="21"/>
        <v>13</v>
      </c>
      <c r="H54" s="5" t="s">
        <v>146</v>
      </c>
      <c r="I54" s="7"/>
      <c r="J54" s="7"/>
      <c r="K54" s="7"/>
      <c r="L54" s="7"/>
      <c r="M54" s="7"/>
      <c r="N54" s="7"/>
      <c r="O54" s="7"/>
      <c r="P54" s="7"/>
      <c r="Q54" s="43">
        <v>-2.4822059000000003</v>
      </c>
      <c r="R54" s="43">
        <v>-8.7254282500000002</v>
      </c>
      <c r="S54" s="43">
        <v>-3.1551651900000004</v>
      </c>
      <c r="T54" s="43">
        <v>-1.36595606</v>
      </c>
      <c r="U54" s="43">
        <v>-2.8579380299999997</v>
      </c>
      <c r="V54" s="43">
        <v>-1.42054E-2</v>
      </c>
      <c r="W54" s="43">
        <v>-0.14726351999999998</v>
      </c>
      <c r="X54" s="43">
        <v>-1.8561880000000003E-2</v>
      </c>
      <c r="Y54" s="43">
        <v>-6.3891180600000004</v>
      </c>
      <c r="Z54" s="43">
        <v>-1.296899E-2</v>
      </c>
      <c r="AA54" s="43">
        <v>-0.13729293999999997</v>
      </c>
      <c r="AB54" s="43">
        <v>-3.7507E-3</v>
      </c>
      <c r="AC54" s="43">
        <v>-0.27191003000000002</v>
      </c>
      <c r="AD54" s="43">
        <v>-0.36717951000000004</v>
      </c>
      <c r="AE54" s="43">
        <v>0</v>
      </c>
      <c r="AF54" s="43">
        <v>-0.34991742999999997</v>
      </c>
      <c r="AG54" s="43">
        <v>-1.3</v>
      </c>
      <c r="AH54" s="43">
        <v>-0.48811054999999998</v>
      </c>
      <c r="AI54" s="43">
        <v>-5.9718210000000001E-2</v>
      </c>
      <c r="AJ54" s="43">
        <v>-1.2861E-4</v>
      </c>
      <c r="AK54" s="43">
        <v>-0.38486635999999996</v>
      </c>
      <c r="AL54" s="43">
        <v>-0.80649880999999979</v>
      </c>
      <c r="AM54" s="43">
        <v>-0.45685123999999999</v>
      </c>
      <c r="AN54" s="43">
        <v>-0.10758014000000027</v>
      </c>
      <c r="AO54" s="43">
        <v>-3.98073E-3</v>
      </c>
      <c r="AP54" s="43">
        <v>-2.1264916600000001</v>
      </c>
      <c r="AQ54" s="43">
        <v>-1.25</v>
      </c>
      <c r="AR54" s="43">
        <v>-13.684449099999998</v>
      </c>
      <c r="AS54" s="43">
        <v>-1.6568624199999999</v>
      </c>
      <c r="AT54" s="43">
        <v>-37.991961079999996</v>
      </c>
      <c r="AU54" s="43">
        <v>-32.808770050000021</v>
      </c>
      <c r="AV54" s="43">
        <v>-4.9519673399999817</v>
      </c>
      <c r="AW54" s="43">
        <v>-1.3389736500000002</v>
      </c>
      <c r="AX54" s="43">
        <v>-0.56569513999999987</v>
      </c>
    </row>
    <row r="55" spans="1:50">
      <c r="A55" s="1">
        <v>14</v>
      </c>
      <c r="B55" s="5" t="s">
        <v>147</v>
      </c>
      <c r="C55" s="43">
        <f t="shared" si="29"/>
        <v>-16.40986096</v>
      </c>
      <c r="D55" s="43">
        <f t="shared" si="30"/>
        <v>-23.87439603</v>
      </c>
      <c r="E55" s="35">
        <f t="shared" si="35"/>
        <v>0.45488106743836787</v>
      </c>
      <c r="F55" s="51"/>
      <c r="G55" s="56">
        <f t="shared" si="21"/>
        <v>14</v>
      </c>
      <c r="H55" s="5" t="s">
        <v>147</v>
      </c>
      <c r="I55" s="7"/>
      <c r="J55" s="7"/>
      <c r="K55" s="7"/>
      <c r="L55" s="7"/>
      <c r="M55" s="7"/>
      <c r="N55" s="7"/>
      <c r="O55" s="7"/>
      <c r="P55" s="7"/>
      <c r="Q55" s="43">
        <v>-16.863124360000004</v>
      </c>
      <c r="R55" s="43">
        <v>-19.939320459999998</v>
      </c>
      <c r="S55" s="43">
        <v>-17.725214960000002</v>
      </c>
      <c r="T55" s="43">
        <v>-28.326226259999999</v>
      </c>
      <c r="U55" s="43">
        <v>-20.05521062</v>
      </c>
      <c r="V55" s="43">
        <v>-23.011494200000001</v>
      </c>
      <c r="W55" s="43">
        <v>-24.285353650000001</v>
      </c>
      <c r="X55" s="43">
        <v>-24.371911540000003</v>
      </c>
      <c r="Y55" s="43">
        <v>-18.965294759999999</v>
      </c>
      <c r="Z55" s="43">
        <v>-23.6114715</v>
      </c>
      <c r="AA55" s="43">
        <v>-24.548299199999999</v>
      </c>
      <c r="AB55" s="43">
        <v>-25.285733</v>
      </c>
      <c r="AC55" s="43">
        <v>-19.612186380000001</v>
      </c>
      <c r="AD55" s="43">
        <v>-16.17645731</v>
      </c>
      <c r="AE55" s="43">
        <v>-22.237171629999999</v>
      </c>
      <c r="AF55" s="43">
        <v>-20.756213280000001</v>
      </c>
      <c r="AG55" s="43">
        <v>-11.1</v>
      </c>
      <c r="AH55" s="43">
        <v>-14.580119980000001</v>
      </c>
      <c r="AI55" s="43">
        <v>-20.636345499999997</v>
      </c>
      <c r="AJ55" s="43">
        <v>-19.569473139999999</v>
      </c>
      <c r="AK55" s="43">
        <v>-15.12824548</v>
      </c>
      <c r="AL55" s="43">
        <v>-17.254955880000001</v>
      </c>
      <c r="AM55" s="43">
        <v>-21.71192946</v>
      </c>
      <c r="AN55" s="43">
        <v>-19.526062860000014</v>
      </c>
      <c r="AO55" s="43">
        <v>-21.88420558</v>
      </c>
      <c r="AP55" s="43">
        <v>-22.164677079999997</v>
      </c>
      <c r="AQ55" s="43">
        <v>-25.5</v>
      </c>
      <c r="AR55" s="43">
        <v>-25.822281979999985</v>
      </c>
      <c r="AS55" s="43">
        <v>-24.293511609999999</v>
      </c>
      <c r="AT55" s="43">
        <v>-16.40986096</v>
      </c>
      <c r="AU55" s="43">
        <v>-26.612560300000016</v>
      </c>
      <c r="AV55" s="43">
        <v>-23.998477999999988</v>
      </c>
      <c r="AW55" s="43">
        <v>-23.003694660000001</v>
      </c>
      <c r="AX55" s="43">
        <v>-23.87439603</v>
      </c>
    </row>
    <row r="56" spans="1:50">
      <c r="A56" s="1">
        <v>15</v>
      </c>
      <c r="B56" s="5" t="s">
        <v>148</v>
      </c>
      <c r="C56" s="63" t="str">
        <f t="shared" si="29"/>
        <v>-</v>
      </c>
      <c r="D56" s="63" t="str">
        <f t="shared" si="30"/>
        <v>-</v>
      </c>
      <c r="E56" s="47" t="s">
        <v>131</v>
      </c>
      <c r="G56" s="56">
        <f t="shared" si="21"/>
        <v>15</v>
      </c>
      <c r="H56" s="5" t="s">
        <v>148</v>
      </c>
      <c r="I56" s="7"/>
      <c r="J56" s="7"/>
      <c r="K56" s="7"/>
      <c r="L56" s="7"/>
      <c r="M56" s="7"/>
      <c r="N56" s="7"/>
      <c r="O56" s="7"/>
      <c r="P56" s="7"/>
      <c r="Q56" s="43"/>
      <c r="R56" s="43"/>
      <c r="S56" s="43"/>
      <c r="T56" s="43"/>
      <c r="U56" s="43"/>
      <c r="V56" s="43"/>
      <c r="W56" s="43"/>
      <c r="X56" s="43"/>
      <c r="Y56" s="43"/>
      <c r="Z56" s="43"/>
      <c r="AA56" s="43">
        <v>-1.3596464999999998</v>
      </c>
      <c r="AB56" s="43">
        <v>0</v>
      </c>
      <c r="AC56" s="43">
        <v>0</v>
      </c>
      <c r="AD56" s="43">
        <v>0</v>
      </c>
      <c r="AE56" s="43">
        <v>0</v>
      </c>
      <c r="AF56" s="43">
        <v>0</v>
      </c>
      <c r="AG56" s="43">
        <v>0</v>
      </c>
      <c r="AH56" s="43">
        <v>0</v>
      </c>
      <c r="AI56" s="43">
        <v>0</v>
      </c>
      <c r="AJ56" s="43">
        <v>-0.91938023999999996</v>
      </c>
      <c r="AK56" s="43">
        <v>0</v>
      </c>
      <c r="AL56" s="43">
        <v>-0.27632070000000003</v>
      </c>
      <c r="AM56" s="63">
        <v>0</v>
      </c>
      <c r="AN56" s="63">
        <v>0</v>
      </c>
      <c r="AO56" s="63">
        <v>0</v>
      </c>
      <c r="AP56" s="63">
        <v>-3.5201690000000001E-2</v>
      </c>
      <c r="AQ56" s="63">
        <v>0</v>
      </c>
      <c r="AR56" s="63">
        <v>0</v>
      </c>
      <c r="AS56" s="63">
        <v>0</v>
      </c>
      <c r="AT56" s="63" t="s">
        <v>131</v>
      </c>
      <c r="AU56" s="63">
        <v>-3.37775392</v>
      </c>
      <c r="AV56" s="63">
        <v>1.9641400000001141E-3</v>
      </c>
      <c r="AW56" s="63">
        <v>-2.3849499999999999E-2</v>
      </c>
      <c r="AX56" s="63" t="s">
        <v>131</v>
      </c>
    </row>
    <row r="57" spans="1:50">
      <c r="A57" s="1">
        <v>16</v>
      </c>
      <c r="B57" s="5" t="s">
        <v>177</v>
      </c>
      <c r="C57" s="43">
        <f t="shared" si="29"/>
        <v>-4.1260350499999969</v>
      </c>
      <c r="D57" s="43">
        <f t="shared" si="30"/>
        <v>-2.568123420000004</v>
      </c>
      <c r="E57" s="35">
        <f t="shared" si="35"/>
        <v>-0.37758080363374369</v>
      </c>
      <c r="G57" s="56">
        <f t="shared" si="21"/>
        <v>16</v>
      </c>
      <c r="H57" s="5" t="s">
        <v>177</v>
      </c>
      <c r="I57" s="7"/>
      <c r="J57" s="7"/>
      <c r="K57" s="7"/>
      <c r="L57" s="7"/>
      <c r="M57" s="7"/>
      <c r="N57" s="7"/>
      <c r="O57" s="7"/>
      <c r="P57" s="7"/>
      <c r="Q57" s="43">
        <v>-4.2737711100000002</v>
      </c>
      <c r="R57" s="43">
        <v>-2.1460987999999999</v>
      </c>
      <c r="S57" s="43">
        <v>-2.3569668500000001</v>
      </c>
      <c r="T57" s="43">
        <v>-1.2902286600000001</v>
      </c>
      <c r="U57" s="43">
        <v>-2.6477147300000001</v>
      </c>
      <c r="V57" s="43">
        <v>-2.5262587800000005</v>
      </c>
      <c r="W57" s="43">
        <v>-1.5997320500000001</v>
      </c>
      <c r="X57" s="43">
        <v>-2.7779490399999998</v>
      </c>
      <c r="Y57" s="43">
        <v>-4.6605187800000003</v>
      </c>
      <c r="Z57" s="43">
        <v>-3.2297163100000006</v>
      </c>
      <c r="AA57" s="43">
        <v>-3.5027381900000001</v>
      </c>
      <c r="AB57" s="43">
        <v>-3.4928045399999998</v>
      </c>
      <c r="AC57" s="43">
        <v>-3.11262324</v>
      </c>
      <c r="AD57" s="43">
        <v>-3.3023120000000001</v>
      </c>
      <c r="AE57" s="43">
        <v>-2.7310162099999999</v>
      </c>
      <c r="AF57" s="43">
        <v>-3.3519103599999998</v>
      </c>
      <c r="AG57" s="43">
        <v>-1.9484860099999997</v>
      </c>
      <c r="AH57" s="43">
        <v>-2.5346745500000001</v>
      </c>
      <c r="AI57" s="43">
        <v>-2.2440068999999996</v>
      </c>
      <c r="AJ57" s="43">
        <v>-3.8985312099999998</v>
      </c>
      <c r="AK57" s="43">
        <v>-1.5</v>
      </c>
      <c r="AL57" s="43">
        <v>-2.4122676799999958</v>
      </c>
      <c r="AM57" s="43">
        <v>-2.1665876800000046</v>
      </c>
      <c r="AN57" s="43">
        <v>-2.0635969600000101</v>
      </c>
      <c r="AO57" s="43">
        <v>-2.0878985400000003</v>
      </c>
      <c r="AP57" s="43">
        <v>-2.1050076999999972</v>
      </c>
      <c r="AQ57" s="43">
        <v>-2.5099999999999998</v>
      </c>
      <c r="AR57" s="43">
        <v>-5.12</v>
      </c>
      <c r="AS57" s="43">
        <v>-2.9778242999999995</v>
      </c>
      <c r="AT57" s="43">
        <v>-4.1260350499999969</v>
      </c>
      <c r="AU57" s="43">
        <v>-8.3074228000000137</v>
      </c>
      <c r="AV57" s="43">
        <v>-3.155987789999994</v>
      </c>
      <c r="AW57" s="43">
        <v>-2.8484386099999992</v>
      </c>
      <c r="AX57" s="43">
        <v>-2.568123420000004</v>
      </c>
    </row>
    <row r="58" spans="1:50" ht="4.5" customHeight="1">
      <c r="A58" s="1">
        <v>17</v>
      </c>
      <c r="C58" s="32"/>
      <c r="D58" s="32"/>
      <c r="E58" s="32"/>
      <c r="G58" s="56">
        <f t="shared" si="21"/>
        <v>17</v>
      </c>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row>
    <row r="59" spans="1:50">
      <c r="A59" s="1">
        <v>18</v>
      </c>
      <c r="B59" s="98" t="s">
        <v>178</v>
      </c>
      <c r="C59" s="99">
        <f>HLOOKUP($C$42,$H$42:$BG$67,$G59,FALSE)</f>
        <v>4.3409265100000027</v>
      </c>
      <c r="D59" s="99">
        <f>HLOOKUP($D$42,$H$42:$BG$67,$G59,FALSE)</f>
        <v>24.877518530000007</v>
      </c>
      <c r="E59" s="103" t="s">
        <v>131</v>
      </c>
      <c r="G59" s="56">
        <f t="shared" si="21"/>
        <v>18</v>
      </c>
      <c r="H59" s="98" t="s">
        <v>178</v>
      </c>
      <c r="I59" s="104"/>
      <c r="J59" s="104"/>
      <c r="K59" s="104"/>
      <c r="L59" s="104"/>
      <c r="M59" s="104"/>
      <c r="N59" s="104"/>
      <c r="O59" s="104"/>
      <c r="P59" s="104"/>
      <c r="Q59" s="99">
        <f t="shared" ref="Q59:X59" si="36">Q52+Q45</f>
        <v>23.277616519999995</v>
      </c>
      <c r="R59" s="99">
        <f t="shared" si="36"/>
        <v>13.167386780000001</v>
      </c>
      <c r="S59" s="99">
        <f t="shared" si="36"/>
        <v>18.323242480000005</v>
      </c>
      <c r="T59" s="99">
        <f t="shared" si="36"/>
        <v>17.617175820000007</v>
      </c>
      <c r="U59" s="99">
        <f t="shared" si="36"/>
        <v>13.282360160000003</v>
      </c>
      <c r="V59" s="99">
        <f t="shared" si="36"/>
        <v>12.998172359999998</v>
      </c>
      <c r="W59" s="99">
        <f t="shared" si="36"/>
        <v>15.832544459999994</v>
      </c>
      <c r="X59" s="99">
        <f t="shared" si="36"/>
        <v>9.330038100000003</v>
      </c>
      <c r="Y59" s="99">
        <f t="shared" ref="Y59:AE59" si="37">Y52+Y45</f>
        <v>11.899931729999992</v>
      </c>
      <c r="Z59" s="99">
        <f t="shared" si="37"/>
        <v>14.477391430000004</v>
      </c>
      <c r="AA59" s="99">
        <f t="shared" si="37"/>
        <v>9.8756328899999986</v>
      </c>
      <c r="AB59" s="99">
        <f t="shared" si="37"/>
        <v>9.6033398699999992</v>
      </c>
      <c r="AC59" s="99">
        <f t="shared" si="37"/>
        <v>18.467392519999997</v>
      </c>
      <c r="AD59" s="99">
        <f t="shared" si="37"/>
        <v>20.729749330000001</v>
      </c>
      <c r="AE59" s="99">
        <f t="shared" si="37"/>
        <v>17.927874249999995</v>
      </c>
      <c r="AF59" s="99">
        <f t="shared" ref="AF59:AQ59" si="38">AF52+AF45</f>
        <v>21.937408249999997</v>
      </c>
      <c r="AG59" s="99">
        <f t="shared" si="38"/>
        <v>22.633413700000006</v>
      </c>
      <c r="AH59" s="99">
        <f t="shared" si="38"/>
        <v>14.967796610000001</v>
      </c>
      <c r="AI59" s="99">
        <f t="shared" si="38"/>
        <v>18.704558840000001</v>
      </c>
      <c r="AJ59" s="99">
        <f t="shared" si="38"/>
        <v>18.536157810000006</v>
      </c>
      <c r="AK59" s="99">
        <f t="shared" si="38"/>
        <v>20.526024529999994</v>
      </c>
      <c r="AL59" s="99">
        <f t="shared" si="38"/>
        <v>17.786418930000007</v>
      </c>
      <c r="AM59" s="99">
        <f t="shared" si="38"/>
        <v>23.169360609999998</v>
      </c>
      <c r="AN59" s="99">
        <f t="shared" si="38"/>
        <v>21.870470129999973</v>
      </c>
      <c r="AO59" s="99">
        <f t="shared" si="38"/>
        <v>29.414631719999992</v>
      </c>
      <c r="AP59" s="99">
        <f t="shared" ref="AP59:AS59" si="39">AP52+AP45</f>
        <v>25.138693729999996</v>
      </c>
      <c r="AQ59" s="99">
        <f t="shared" si="38"/>
        <v>28.58</v>
      </c>
      <c r="AR59" s="99">
        <f t="shared" si="39"/>
        <v>39.107071750000046</v>
      </c>
      <c r="AS59" s="99">
        <f t="shared" si="39"/>
        <v>29.606268990000011</v>
      </c>
      <c r="AT59" s="99">
        <v>4.3409265100000027</v>
      </c>
      <c r="AU59" s="99">
        <v>53.90371310999997</v>
      </c>
      <c r="AV59" s="99">
        <v>29.056446869999988</v>
      </c>
      <c r="AW59" s="99">
        <f>AW45+AW52</f>
        <v>22.348569359999995</v>
      </c>
      <c r="AX59" s="99">
        <f>AX45+AX52</f>
        <v>24.877518530000007</v>
      </c>
    </row>
    <row r="60" spans="1:50" ht="4.5" customHeight="1">
      <c r="A60" s="1">
        <v>19</v>
      </c>
      <c r="C60" s="32"/>
      <c r="D60" s="32"/>
      <c r="E60" s="32"/>
      <c r="G60" s="56">
        <f t="shared" si="21"/>
        <v>19</v>
      </c>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row>
    <row r="61" spans="1:50">
      <c r="A61" s="1">
        <v>20</v>
      </c>
      <c r="B61" s="5" t="s">
        <v>152</v>
      </c>
      <c r="C61" s="43">
        <f>HLOOKUP($C$42,$H$42:$BG$67,$G61,FALSE)</f>
        <v>-2.2287493600000001</v>
      </c>
      <c r="D61" s="43">
        <f>HLOOKUP($D$42,$H$42:$BG$67,$G61,FALSE)</f>
        <v>-2.16</v>
      </c>
      <c r="E61" s="35">
        <f>D61/C61-1</f>
        <v>-3.0846608969974043E-2</v>
      </c>
      <c r="F61" s="51"/>
      <c r="G61" s="56">
        <f t="shared" si="21"/>
        <v>20</v>
      </c>
      <c r="H61" s="5" t="s">
        <v>152</v>
      </c>
      <c r="I61" s="7"/>
      <c r="J61" s="7"/>
      <c r="K61" s="7"/>
      <c r="L61" s="7"/>
      <c r="M61" s="7"/>
      <c r="N61" s="7"/>
      <c r="O61" s="7"/>
      <c r="P61" s="7"/>
      <c r="Q61" s="43">
        <v>-1.9020556099999997</v>
      </c>
      <c r="R61" s="43">
        <v>-0.95662959000000014</v>
      </c>
      <c r="S61" s="43">
        <v>-1.38904001</v>
      </c>
      <c r="T61" s="43">
        <v>-1.64653396</v>
      </c>
      <c r="U61" s="43">
        <v>-1.35093598</v>
      </c>
      <c r="V61" s="43">
        <v>-1.4034176600000001</v>
      </c>
      <c r="W61" s="43">
        <v>-1.39107256</v>
      </c>
      <c r="X61" s="43">
        <v>-1.7022323799999999</v>
      </c>
      <c r="Y61" s="43">
        <v>-1.4411471600000001</v>
      </c>
      <c r="Z61" s="43">
        <v>-1.51758236</v>
      </c>
      <c r="AA61" s="43">
        <v>-1.6644289400000001</v>
      </c>
      <c r="AB61" s="43">
        <v>-1.50439375</v>
      </c>
      <c r="AC61" s="43">
        <v>-1.4640062700000001</v>
      </c>
      <c r="AD61" s="43">
        <v>-1.6127271700000001</v>
      </c>
      <c r="AE61" s="43">
        <v>-1.1963248800000001</v>
      </c>
      <c r="AF61" s="43">
        <v>-1.91541703</v>
      </c>
      <c r="AG61" s="43">
        <v>-1.6</v>
      </c>
      <c r="AH61" s="43">
        <v>-1.5261225700000001</v>
      </c>
      <c r="AI61" s="43">
        <v>-1.5336618200000003</v>
      </c>
      <c r="AJ61" s="43">
        <v>-1.5264548799999997</v>
      </c>
      <c r="AK61" s="43">
        <v>-1.84047212</v>
      </c>
      <c r="AL61" s="43">
        <v>-1.4989665900000009</v>
      </c>
      <c r="AM61" s="43">
        <v>-1.5633669299999993</v>
      </c>
      <c r="AN61" s="43">
        <v>-1.4798497800000001</v>
      </c>
      <c r="AO61" s="43">
        <v>-2.6075955300000002</v>
      </c>
      <c r="AP61" s="43">
        <v>-1.6545121499999995</v>
      </c>
      <c r="AQ61" s="43">
        <v>-1.8</v>
      </c>
      <c r="AR61" s="43">
        <v>-2.7767341100000014</v>
      </c>
      <c r="AS61" s="43">
        <v>-2.5182996399999995</v>
      </c>
      <c r="AT61" s="43">
        <v>-2.2287493600000001</v>
      </c>
      <c r="AU61" s="43">
        <v>-2.718582650000001</v>
      </c>
      <c r="AV61" s="43">
        <v>-2.3906201699999965</v>
      </c>
      <c r="AW61" s="43">
        <v>-2.4611371000000002</v>
      </c>
      <c r="AX61" s="43">
        <v>-2.16</v>
      </c>
    </row>
    <row r="62" spans="1:50">
      <c r="A62" s="1">
        <v>21</v>
      </c>
      <c r="B62" s="5" t="s">
        <v>179</v>
      </c>
      <c r="C62" s="43">
        <f>HLOOKUP($C$42,$H$42:$BG$67,$G62,FALSE)</f>
        <v>-1.9247170300000018</v>
      </c>
      <c r="D62" s="43">
        <f>HLOOKUP($D$42,$H$42:$BG$67,$G62,FALSE)</f>
        <v>-1.99</v>
      </c>
      <c r="E62" s="47">
        <f>D62/C62-1</f>
        <v>3.3918217058638511E-2</v>
      </c>
      <c r="G62" s="56">
        <f t="shared" si="21"/>
        <v>21</v>
      </c>
      <c r="H62" s="5" t="s">
        <v>179</v>
      </c>
      <c r="I62" s="7"/>
      <c r="J62" s="7"/>
      <c r="K62" s="7"/>
      <c r="L62" s="7"/>
      <c r="M62" s="7"/>
      <c r="N62" s="7"/>
      <c r="O62" s="7"/>
      <c r="P62" s="7"/>
      <c r="Q62" s="43">
        <v>-4.6529306799999999</v>
      </c>
      <c r="R62" s="43">
        <v>-3.0893527200000004</v>
      </c>
      <c r="S62" s="43">
        <v>-0.84189764999999994</v>
      </c>
      <c r="T62" s="43">
        <v>-1.86806512</v>
      </c>
      <c r="U62" s="43">
        <v>-0.51768802999999997</v>
      </c>
      <c r="V62" s="43">
        <v>-0.68306328000000005</v>
      </c>
      <c r="W62" s="43">
        <v>-0.97182712999999998</v>
      </c>
      <c r="X62" s="43">
        <v>10.162852590000002</v>
      </c>
      <c r="Y62" s="43">
        <v>-0.53674665999999993</v>
      </c>
      <c r="Z62" s="43">
        <v>-0.63847730999999985</v>
      </c>
      <c r="AA62" s="43">
        <v>-0.85316294999999986</v>
      </c>
      <c r="AB62" s="43">
        <v>-1.3746567500000002</v>
      </c>
      <c r="AC62" s="43">
        <v>-0.52620058000000003</v>
      </c>
      <c r="AD62" s="43">
        <v>-0.64479643999999992</v>
      </c>
      <c r="AE62" s="43">
        <v>-0.74230715999999985</v>
      </c>
      <c r="AF62" s="43">
        <v>-1.0305582499999997</v>
      </c>
      <c r="AG62" s="43">
        <v>-1.45151399</v>
      </c>
      <c r="AH62" s="43">
        <v>8.5035019999999961E-2</v>
      </c>
      <c r="AI62" s="43">
        <v>-1.51453455</v>
      </c>
      <c r="AJ62" s="43">
        <v>-0.73680754000000004</v>
      </c>
      <c r="AK62" s="43">
        <v>-1.7515005400000001</v>
      </c>
      <c r="AL62" s="43">
        <v>-1.8322824900000034</v>
      </c>
      <c r="AM62" s="43">
        <v>-1.743260389999995</v>
      </c>
      <c r="AN62" s="43">
        <v>-2.1114044399999914</v>
      </c>
      <c r="AO62" s="43">
        <v>-1.90847655</v>
      </c>
      <c r="AP62" s="43">
        <v>-1.7346318800000025</v>
      </c>
      <c r="AQ62" s="43">
        <v>-2.04</v>
      </c>
      <c r="AR62" s="43">
        <v>-2.58</v>
      </c>
      <c r="AS62" s="43">
        <v>-2.0820181900000003</v>
      </c>
      <c r="AT62" s="43">
        <v>-1.9247170300000018</v>
      </c>
      <c r="AU62" s="43">
        <v>-2.3285413199999887</v>
      </c>
      <c r="AV62" s="43">
        <v>-2.5828295200000024</v>
      </c>
      <c r="AW62" s="43">
        <v>-2.3261712200000009</v>
      </c>
      <c r="AX62" s="43">
        <v>-1.99</v>
      </c>
    </row>
    <row r="63" spans="1:50">
      <c r="A63" s="1">
        <v>22</v>
      </c>
      <c r="B63" s="5" t="s">
        <v>154</v>
      </c>
      <c r="C63" s="43">
        <f>HLOOKUP($C$42,$H$42:$BG$67,$G63,FALSE)</f>
        <v>-8.5275508599999998</v>
      </c>
      <c r="D63" s="43">
        <f>HLOOKUP($D$42,$H$42:$BG$67,$G63,FALSE)</f>
        <v>-9.0299999999999994</v>
      </c>
      <c r="E63" s="35">
        <f t="shared" ref="E63" si="40">D63/C63-1</f>
        <v>5.8920685229428171E-2</v>
      </c>
      <c r="G63" s="56">
        <f t="shared" si="21"/>
        <v>22</v>
      </c>
      <c r="H63" s="5" t="s">
        <v>154</v>
      </c>
      <c r="I63" s="7"/>
      <c r="J63" s="7"/>
      <c r="K63" s="7"/>
      <c r="L63" s="7"/>
      <c r="M63" s="7"/>
      <c r="N63" s="7"/>
      <c r="O63" s="7"/>
      <c r="P63" s="7"/>
      <c r="Q63" s="43">
        <v>-7.9848667500000001</v>
      </c>
      <c r="R63" s="43">
        <v>-7.9488865200000003</v>
      </c>
      <c r="S63" s="43">
        <v>-7.9521240000000013</v>
      </c>
      <c r="T63" s="43">
        <v>-8.0023987100000014</v>
      </c>
      <c r="U63" s="43">
        <v>-8.0354829599999995</v>
      </c>
      <c r="V63" s="43">
        <v>-8.0330798399999992</v>
      </c>
      <c r="W63" s="43">
        <v>-7.8220839199999972</v>
      </c>
      <c r="X63" s="43">
        <v>-8.3412998900000002</v>
      </c>
      <c r="Y63" s="43">
        <v>-8.1506856200000009</v>
      </c>
      <c r="Z63" s="43">
        <v>-8.2453212299999983</v>
      </c>
      <c r="AA63" s="43">
        <v>-8.2788340199999997</v>
      </c>
      <c r="AB63" s="43">
        <v>-8.5874377700000011</v>
      </c>
      <c r="AC63" s="43">
        <v>-10.861591690000001</v>
      </c>
      <c r="AD63" s="43">
        <v>-11.416930089999997</v>
      </c>
      <c r="AE63" s="43">
        <v>-11.762001100000001</v>
      </c>
      <c r="AF63" s="43">
        <v>-11.893788960000002</v>
      </c>
      <c r="AG63" s="43">
        <v>-11.2</v>
      </c>
      <c r="AH63" s="43">
        <v>-11.47850051</v>
      </c>
      <c r="AI63" s="43">
        <v>-12.182965490000001</v>
      </c>
      <c r="AJ63" s="43">
        <v>-11.69162096</v>
      </c>
      <c r="AK63" s="43">
        <v>-8.9479389499999993</v>
      </c>
      <c r="AL63" s="43">
        <v>-8.7846704900000017</v>
      </c>
      <c r="AM63" s="43">
        <v>-8.78027041</v>
      </c>
      <c r="AN63" s="43">
        <v>-8.9347689600000049</v>
      </c>
      <c r="AO63" s="43">
        <v>-8.8220456100000018</v>
      </c>
      <c r="AP63" s="43">
        <v>-8.8828295999999956</v>
      </c>
      <c r="AQ63" s="43">
        <v>-8.8800000000000008</v>
      </c>
      <c r="AR63" s="43">
        <v>-9.1460913999999978</v>
      </c>
      <c r="AS63" s="43">
        <v>-8.9631001000000001</v>
      </c>
      <c r="AT63" s="43">
        <v>-8.5275508599999998</v>
      </c>
      <c r="AU63" s="43">
        <v>-8.2351071599999965</v>
      </c>
      <c r="AV63" s="43">
        <v>-9.9244432700000136</v>
      </c>
      <c r="AW63" s="43">
        <v>-8.8326947100000002</v>
      </c>
      <c r="AX63" s="43">
        <v>-9.0299999999999994</v>
      </c>
    </row>
    <row r="64" spans="1:50" ht="4.5" customHeight="1">
      <c r="A64" s="1">
        <v>23</v>
      </c>
      <c r="C64" s="32"/>
      <c r="D64" s="32"/>
      <c r="E64" s="32"/>
      <c r="G64" s="56">
        <f t="shared" si="21"/>
        <v>23</v>
      </c>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c r="A65" s="1">
        <v>24</v>
      </c>
      <c r="B65" s="98" t="s">
        <v>180</v>
      </c>
      <c r="C65" s="99">
        <f>HLOOKUP($C$42,$H$42:$BG$67,$G65,FALSE)</f>
        <v>-8.3400907399999991</v>
      </c>
      <c r="D65" s="99">
        <f>HLOOKUP($D$42,$H$42:$BG$67,$G65,FALSE)</f>
        <v>11.697518530000009</v>
      </c>
      <c r="E65" s="101">
        <f>D65/C65-1</f>
        <v>-2.4025648994317788</v>
      </c>
      <c r="G65" s="56">
        <f t="shared" si="21"/>
        <v>24</v>
      </c>
      <c r="H65" s="98" t="s">
        <v>180</v>
      </c>
      <c r="I65" s="104"/>
      <c r="J65" s="104"/>
      <c r="K65" s="104"/>
      <c r="L65" s="104"/>
      <c r="M65" s="104"/>
      <c r="N65" s="104"/>
      <c r="O65" s="104"/>
      <c r="P65" s="104"/>
      <c r="Q65" s="99">
        <f t="shared" ref="Q65:W65" si="41">Q59+Q61+Q62+Q63</f>
        <v>8.7377634799999964</v>
      </c>
      <c r="R65" s="99">
        <f t="shared" si="41"/>
        <v>1.1725179499999996</v>
      </c>
      <c r="S65" s="99">
        <f t="shared" si="41"/>
        <v>8.1401808200000048</v>
      </c>
      <c r="T65" s="99">
        <f t="shared" si="41"/>
        <v>6.1001780300000057</v>
      </c>
      <c r="U65" s="99">
        <f t="shared" si="41"/>
        <v>3.3782531900000041</v>
      </c>
      <c r="V65" s="99">
        <f t="shared" si="41"/>
        <v>2.8786115799999976</v>
      </c>
      <c r="W65" s="99">
        <f t="shared" si="41"/>
        <v>5.6475608499999979</v>
      </c>
      <c r="X65" s="99">
        <f t="shared" ref="X65:Y65" si="42">X59+X61+X62+X63</f>
        <v>9.4493584200000047</v>
      </c>
      <c r="Y65" s="99">
        <f t="shared" si="42"/>
        <v>1.7713522899999905</v>
      </c>
      <c r="Z65" s="99">
        <f t="shared" ref="Z65" si="43">Z59+Z61+Z62+Z63</f>
        <v>4.0760105300000049</v>
      </c>
      <c r="AA65" s="99">
        <f t="shared" ref="AA65:AX65" si="44">AA59+AA61+AA62+AA63</f>
        <v>-0.92079302000000141</v>
      </c>
      <c r="AB65" s="99">
        <f t="shared" si="44"/>
        <v>-1.8631484000000018</v>
      </c>
      <c r="AC65" s="99">
        <f t="shared" si="44"/>
        <v>5.6155939799999963</v>
      </c>
      <c r="AD65" s="99">
        <f t="shared" si="44"/>
        <v>7.0552956300000034</v>
      </c>
      <c r="AE65" s="99">
        <f t="shared" si="44"/>
        <v>4.227241109999996</v>
      </c>
      <c r="AF65" s="99">
        <f t="shared" si="44"/>
        <v>7.0976440099999962</v>
      </c>
      <c r="AG65" s="99">
        <f t="shared" si="44"/>
        <v>8.3818997100000061</v>
      </c>
      <c r="AH65" s="99">
        <f t="shared" si="44"/>
        <v>2.04820855</v>
      </c>
      <c r="AI65" s="99">
        <f>AI59+AI61+AI62+AI63</f>
        <v>3.4733969800000004</v>
      </c>
      <c r="AJ65" s="99">
        <f t="shared" si="44"/>
        <v>4.5812744300000059</v>
      </c>
      <c r="AK65" s="99">
        <f t="shared" si="44"/>
        <v>7.9861129199999947</v>
      </c>
      <c r="AL65" s="99">
        <f t="shared" si="44"/>
        <v>5.6704993599999991</v>
      </c>
      <c r="AM65" s="99">
        <f t="shared" si="44"/>
        <v>11.082462880000001</v>
      </c>
      <c r="AN65" s="99">
        <f t="shared" si="44"/>
        <v>9.3444469499999787</v>
      </c>
      <c r="AO65" s="99">
        <f t="shared" si="44"/>
        <v>16.076514029999991</v>
      </c>
      <c r="AP65" s="99">
        <f t="shared" si="44"/>
        <v>12.8667201</v>
      </c>
      <c r="AQ65" s="99">
        <f t="shared" si="44"/>
        <v>15.859999999999998</v>
      </c>
      <c r="AR65" s="99">
        <f t="shared" si="44"/>
        <v>24.604246240000052</v>
      </c>
      <c r="AS65" s="99">
        <f t="shared" si="44"/>
        <v>16.042851060000011</v>
      </c>
      <c r="AT65" s="99">
        <f t="shared" si="44"/>
        <v>-8.3400907399999991</v>
      </c>
      <c r="AU65" s="99">
        <f t="shared" si="44"/>
        <v>40.621481979999984</v>
      </c>
      <c r="AV65" s="99">
        <f t="shared" si="44"/>
        <v>14.158553909999972</v>
      </c>
      <c r="AW65" s="99">
        <f t="shared" si="44"/>
        <v>8.7285663299999978</v>
      </c>
      <c r="AX65" s="99">
        <f t="shared" si="44"/>
        <v>11.697518530000009</v>
      </c>
    </row>
    <row r="66" spans="1:50" ht="4.5" customHeight="1">
      <c r="A66" s="1">
        <v>25</v>
      </c>
      <c r="B66" s="105"/>
      <c r="C66" s="106">
        <f>HLOOKUP($C$42,$H$42:$BG$67,$G66,FALSE)</f>
        <v>0</v>
      </c>
      <c r="D66" s="106">
        <f>HLOOKUP($D$42,$H$42:$BG$67,$G66,FALSE)</f>
        <v>0</v>
      </c>
      <c r="E66" s="106"/>
      <c r="G66" s="56">
        <f t="shared" si="21"/>
        <v>25</v>
      </c>
      <c r="H66" s="105"/>
      <c r="I66" s="107"/>
      <c r="J66" s="107"/>
      <c r="K66" s="107"/>
      <c r="L66" s="107"/>
      <c r="M66" s="107"/>
      <c r="N66" s="107"/>
      <c r="O66" s="107"/>
      <c r="P66" s="107"/>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row>
    <row r="67" spans="1:50">
      <c r="A67" s="1">
        <v>26</v>
      </c>
      <c r="B67" s="98" t="s">
        <v>156</v>
      </c>
      <c r="C67" s="99">
        <f>HLOOKUP($C$42,$H$42:$BG$67,$G67,FALSE)</f>
        <v>0.18746012000000079</v>
      </c>
      <c r="D67" s="99">
        <f>HLOOKUP($D$42,$H$42:$BG$67,$G67,FALSE)</f>
        <v>20.727518530000008</v>
      </c>
      <c r="E67" s="103" t="s">
        <v>131</v>
      </c>
      <c r="G67" s="56">
        <f t="shared" si="21"/>
        <v>26</v>
      </c>
      <c r="H67" s="98" t="s">
        <v>156</v>
      </c>
      <c r="I67" s="104"/>
      <c r="J67" s="104"/>
      <c r="K67" s="104"/>
      <c r="L67" s="104"/>
      <c r="M67" s="104"/>
      <c r="N67" s="104"/>
      <c r="O67" s="104"/>
      <c r="P67" s="104"/>
      <c r="Q67" s="99">
        <f t="shared" ref="Q67:W67" si="45">Q65-Q63</f>
        <v>16.722630229999996</v>
      </c>
      <c r="R67" s="99">
        <f t="shared" si="45"/>
        <v>9.1214044699999999</v>
      </c>
      <c r="S67" s="99">
        <f>S65-S63</f>
        <v>16.092304820000006</v>
      </c>
      <c r="T67" s="99">
        <f>T65-T63</f>
        <v>14.102576740000007</v>
      </c>
      <c r="U67" s="99">
        <f>U65-U63</f>
        <v>11.413736150000004</v>
      </c>
      <c r="V67" s="99">
        <f>V65-V63</f>
        <v>10.911691419999997</v>
      </c>
      <c r="W67" s="99">
        <f t="shared" si="45"/>
        <v>13.469644769999995</v>
      </c>
      <c r="X67" s="99">
        <f t="shared" ref="X67:Y67" si="46">X65-X63</f>
        <v>17.790658310000005</v>
      </c>
      <c r="Y67" s="99">
        <f t="shared" si="46"/>
        <v>9.9220379099999914</v>
      </c>
      <c r="Z67" s="99">
        <f t="shared" ref="Z67" si="47">Z65-Z63</f>
        <v>12.321331760000003</v>
      </c>
      <c r="AA67" s="99">
        <f t="shared" ref="AA67:AG67" si="48">AA65-AA63</f>
        <v>7.3580409999999983</v>
      </c>
      <c r="AB67" s="99">
        <f t="shared" si="48"/>
        <v>6.7242893699999993</v>
      </c>
      <c r="AC67" s="99">
        <f t="shared" si="48"/>
        <v>16.477185669999997</v>
      </c>
      <c r="AD67" s="99">
        <f t="shared" si="48"/>
        <v>18.472225720000001</v>
      </c>
      <c r="AE67" s="99">
        <f t="shared" si="48"/>
        <v>15.989242209999997</v>
      </c>
      <c r="AF67" s="99">
        <f t="shared" si="48"/>
        <v>18.991432969999998</v>
      </c>
      <c r="AG67" s="99">
        <f t="shared" si="48"/>
        <v>19.581899710000005</v>
      </c>
      <c r="AH67" s="99">
        <v>13.52670906</v>
      </c>
      <c r="AI67" s="99">
        <v>15.656362469999999</v>
      </c>
      <c r="AJ67" s="99">
        <f t="shared" ref="AJ67:AX67" si="49">AJ65-AJ63</f>
        <v>16.272895390000006</v>
      </c>
      <c r="AK67" s="99">
        <f t="shared" si="49"/>
        <v>16.934051869999994</v>
      </c>
      <c r="AL67" s="99">
        <f t="shared" si="49"/>
        <v>14.455169850000001</v>
      </c>
      <c r="AM67" s="99">
        <f t="shared" si="49"/>
        <v>19.862733290000001</v>
      </c>
      <c r="AN67" s="99">
        <f t="shared" si="49"/>
        <v>18.279215909999984</v>
      </c>
      <c r="AO67" s="99">
        <f t="shared" si="49"/>
        <v>24.898559639999995</v>
      </c>
      <c r="AP67" s="99">
        <f t="shared" si="49"/>
        <v>21.749549699999996</v>
      </c>
      <c r="AQ67" s="99">
        <f t="shared" ref="AQ67" si="50">+AQ65-AQ63</f>
        <v>24.74</v>
      </c>
      <c r="AR67" s="99">
        <f t="shared" si="49"/>
        <v>33.750337640000048</v>
      </c>
      <c r="AS67" s="99">
        <f t="shared" si="49"/>
        <v>25.005951160000009</v>
      </c>
      <c r="AT67" s="99">
        <f t="shared" si="49"/>
        <v>0.18746012000000079</v>
      </c>
      <c r="AU67" s="99">
        <f t="shared" si="49"/>
        <v>48.856589139999983</v>
      </c>
      <c r="AV67" s="99">
        <f t="shared" si="49"/>
        <v>24.082997179999985</v>
      </c>
      <c r="AW67" s="99">
        <f t="shared" si="49"/>
        <v>17.561261039999998</v>
      </c>
      <c r="AX67" s="99">
        <f t="shared" si="49"/>
        <v>20.727518530000008</v>
      </c>
    </row>
    <row r="68" spans="1:50">
      <c r="W68" s="50"/>
    </row>
    <row r="69" spans="1:50">
      <c r="W69" s="50"/>
      <c r="AJ69" s="50"/>
      <c r="AK69" s="50"/>
      <c r="AL69" s="50"/>
      <c r="AM69" s="50"/>
      <c r="AN69" s="50"/>
      <c r="AO69" s="50"/>
    </row>
    <row r="70" spans="1:50" ht="92.25" customHeight="1">
      <c r="B70" s="139" t="s">
        <v>185</v>
      </c>
      <c r="C70" s="139"/>
      <c r="D70" s="139"/>
      <c r="E70" s="139"/>
      <c r="W70" s="50"/>
    </row>
    <row r="71" spans="1:50">
      <c r="AG71" s="50"/>
      <c r="AH71" s="50"/>
      <c r="AI71" s="50"/>
      <c r="AJ71" s="52"/>
      <c r="AK71" s="50"/>
      <c r="AL71" s="50"/>
      <c r="AM71" s="50"/>
      <c r="AN71" s="50"/>
      <c r="AO71" s="50"/>
    </row>
    <row r="72" spans="1:50" ht="226.5" customHeight="1">
      <c r="B72" s="139"/>
      <c r="C72" s="139"/>
      <c r="D72" s="139"/>
      <c r="E72" s="139"/>
      <c r="W72" s="50"/>
    </row>
    <row r="73" spans="1:50">
      <c r="W73" s="51"/>
    </row>
  </sheetData>
  <mergeCells count="93">
    <mergeCell ref="AT42:AT43"/>
    <mergeCell ref="AS7:AS8"/>
    <mergeCell ref="AS42:AS43"/>
    <mergeCell ref="AQ7:AQ8"/>
    <mergeCell ref="AQ42:AQ43"/>
    <mergeCell ref="AT7:AT8"/>
    <mergeCell ref="AP42:AP43"/>
    <mergeCell ref="AR7:AR8"/>
    <mergeCell ref="AR42:AR43"/>
    <mergeCell ref="AO7:AO8"/>
    <mergeCell ref="AO42:AO43"/>
    <mergeCell ref="M42:M43"/>
    <mergeCell ref="K42:K43"/>
    <mergeCell ref="L42:L43"/>
    <mergeCell ref="Q42:Q43"/>
    <mergeCell ref="R42:R43"/>
    <mergeCell ref="B72:E72"/>
    <mergeCell ref="C42:C43"/>
    <mergeCell ref="D42:D43"/>
    <mergeCell ref="B70:E70"/>
    <mergeCell ref="J42:J43"/>
    <mergeCell ref="I42:I43"/>
    <mergeCell ref="E42:E43"/>
    <mergeCell ref="U42:U43"/>
    <mergeCell ref="U7:U8"/>
    <mergeCell ref="S42:S43"/>
    <mergeCell ref="T42:T43"/>
    <mergeCell ref="N42:N43"/>
    <mergeCell ref="O42:O43"/>
    <mergeCell ref="P42:P43"/>
    <mergeCell ref="B35:AN37"/>
    <mergeCell ref="AM42:AM43"/>
    <mergeCell ref="AM7:AM8"/>
    <mergeCell ref="AN7:AN8"/>
    <mergeCell ref="AN42:AN43"/>
    <mergeCell ref="V42:V43"/>
    <mergeCell ref="AE7:AE8"/>
    <mergeCell ref="AE42:AE43"/>
    <mergeCell ref="AH42:AH43"/>
    <mergeCell ref="E7:E8"/>
    <mergeCell ref="V7:V8"/>
    <mergeCell ref="Y7:Y8"/>
    <mergeCell ref="W7:W8"/>
    <mergeCell ref="I7:I8"/>
    <mergeCell ref="J7:J8"/>
    <mergeCell ref="K7:K8"/>
    <mergeCell ref="L7:L8"/>
    <mergeCell ref="M7:M8"/>
    <mergeCell ref="N7:N8"/>
    <mergeCell ref="O7:O8"/>
    <mergeCell ref="P7:P8"/>
    <mergeCell ref="Q7:Q8"/>
    <mergeCell ref="R7:R8"/>
    <mergeCell ref="S7:S8"/>
    <mergeCell ref="T7:T8"/>
    <mergeCell ref="C7:C8"/>
    <mergeCell ref="AJ42:AJ43"/>
    <mergeCell ref="AD42:AD43"/>
    <mergeCell ref="AC42:AC43"/>
    <mergeCell ref="AA42:AA43"/>
    <mergeCell ref="AB42:AB43"/>
    <mergeCell ref="W42:W43"/>
    <mergeCell ref="X42:X43"/>
    <mergeCell ref="AC7:AC8"/>
    <mergeCell ref="AD7:AD8"/>
    <mergeCell ref="Y42:Y43"/>
    <mergeCell ref="Z42:Z43"/>
    <mergeCell ref="AB7:AB8"/>
    <mergeCell ref="X7:X8"/>
    <mergeCell ref="Z7:Z8"/>
    <mergeCell ref="D7:D8"/>
    <mergeCell ref="AX7:AX8"/>
    <mergeCell ref="AX42:AX43"/>
    <mergeCell ref="AW7:AW8"/>
    <mergeCell ref="AW42:AW43"/>
    <mergeCell ref="AV7:AV8"/>
    <mergeCell ref="AV42:AV43"/>
    <mergeCell ref="AU7:AU8"/>
    <mergeCell ref="AU42:AU43"/>
    <mergeCell ref="AA7:AA8"/>
    <mergeCell ref="AK42:AK43"/>
    <mergeCell ref="AF42:AF43"/>
    <mergeCell ref="AF7:AF8"/>
    <mergeCell ref="AI7:AI8"/>
    <mergeCell ref="AI42:AI43"/>
    <mergeCell ref="AJ7:AJ8"/>
    <mergeCell ref="AG7:AG8"/>
    <mergeCell ref="AG42:AG43"/>
    <mergeCell ref="AH7:AH8"/>
    <mergeCell ref="AK7:AK8"/>
    <mergeCell ref="AL7:AL8"/>
    <mergeCell ref="AL42:AL43"/>
    <mergeCell ref="AP7:AP8"/>
  </mergeCells>
  <phoneticPr fontId="14" type="noConversion"/>
  <pageMargins left="0.7" right="0.7" top="0.75" bottom="0.75" header="0.3" footer="0.3"/>
  <pageSetup orientation="portrait" r:id="rId1"/>
  <ignoredErrors>
    <ignoredError sqref="AB10 AB52" formula="1"/>
    <ignoredError sqref="E46 E53 E66 E51 E58 E60:E64"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79998168889431442"/>
  </sheetPr>
  <dimension ref="A4:BA49"/>
  <sheetViews>
    <sheetView tabSelected="1" topLeftCell="B1" zoomScale="44" zoomScaleNormal="86" workbookViewId="0">
      <selection activeCell="AZ23" sqref="AZ23"/>
    </sheetView>
  </sheetViews>
  <sheetFormatPr baseColWidth="10" defaultColWidth="11.453125" defaultRowHeight="13.5"/>
  <cols>
    <col min="1" max="1" width="11.453125" style="1" hidden="1" customWidth="1"/>
    <col min="2" max="2" width="57" style="1" customWidth="1"/>
    <col min="3" max="4" width="11.453125" style="1"/>
    <col min="5" max="6" width="11.453125" style="1" customWidth="1"/>
    <col min="7" max="7" width="11.453125" style="56"/>
    <col min="8" max="8" width="60.54296875" style="1" customWidth="1"/>
    <col min="9" max="20" width="11.453125" style="1" customWidth="1"/>
    <col min="21" max="26" width="15" style="1" customWidth="1"/>
    <col min="27" max="49" width="11.453125" style="1" customWidth="1"/>
    <col min="50" max="16384" width="11.453125" style="1"/>
  </cols>
  <sheetData>
    <row r="4" spans="1:52"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row>
    <row r="5" spans="1:52" ht="8.25" customHeight="1"/>
    <row r="6" spans="1:52" s="131" customFormat="1">
      <c r="A6" s="131">
        <v>1</v>
      </c>
      <c r="B6" s="3" t="s">
        <v>169</v>
      </c>
      <c r="C6" s="138" t="s">
        <v>112</v>
      </c>
      <c r="D6" s="138" t="s">
        <v>221</v>
      </c>
      <c r="E6" s="138" t="s">
        <v>75</v>
      </c>
      <c r="G6" s="132">
        <v>1</v>
      </c>
      <c r="H6" s="3" t="s">
        <v>169</v>
      </c>
      <c r="I6" s="138" t="s">
        <v>76</v>
      </c>
      <c r="J6" s="138" t="s">
        <v>77</v>
      </c>
      <c r="K6" s="138" t="s">
        <v>78</v>
      </c>
      <c r="L6" s="138" t="s">
        <v>79</v>
      </c>
      <c r="M6" s="138" t="s">
        <v>80</v>
      </c>
      <c r="N6" s="138" t="s">
        <v>81</v>
      </c>
      <c r="O6" s="138" t="s">
        <v>82</v>
      </c>
      <c r="P6" s="138" t="s">
        <v>83</v>
      </c>
      <c r="Q6" s="138" t="s">
        <v>84</v>
      </c>
      <c r="R6" s="138" t="s">
        <v>85</v>
      </c>
      <c r="S6" s="138" t="s">
        <v>86</v>
      </c>
      <c r="T6" s="138" t="s">
        <v>87</v>
      </c>
      <c r="U6" s="138" t="s">
        <v>88</v>
      </c>
      <c r="V6" s="138" t="s">
        <v>89</v>
      </c>
      <c r="W6" s="138" t="s">
        <v>90</v>
      </c>
      <c r="X6" s="138" t="s">
        <v>91</v>
      </c>
      <c r="Y6" s="138" t="s">
        <v>92</v>
      </c>
      <c r="Z6" s="138" t="s">
        <v>93</v>
      </c>
      <c r="AA6" s="138" t="s">
        <v>94</v>
      </c>
      <c r="AB6" s="138" t="s">
        <v>95</v>
      </c>
      <c r="AC6" s="138" t="s">
        <v>96</v>
      </c>
      <c r="AD6" s="138" t="s">
        <v>97</v>
      </c>
      <c r="AE6" s="138" t="s">
        <v>98</v>
      </c>
      <c r="AF6" s="138" t="s">
        <v>99</v>
      </c>
      <c r="AG6" s="138" t="s">
        <v>100</v>
      </c>
      <c r="AH6" s="138" t="s">
        <v>101</v>
      </c>
      <c r="AI6" s="138" t="s">
        <v>102</v>
      </c>
      <c r="AJ6" s="138" t="s">
        <v>103</v>
      </c>
      <c r="AK6" s="138" t="s">
        <v>104</v>
      </c>
      <c r="AL6" s="138" t="s">
        <v>105</v>
      </c>
      <c r="AM6" s="138" t="s">
        <v>106</v>
      </c>
      <c r="AN6" s="138" t="s">
        <v>107</v>
      </c>
      <c r="AO6" s="138" t="s">
        <v>108</v>
      </c>
      <c r="AP6" s="138" t="s">
        <v>109</v>
      </c>
      <c r="AQ6" s="138" t="s">
        <v>110</v>
      </c>
      <c r="AR6" s="138" t="s">
        <v>111</v>
      </c>
      <c r="AS6" s="138" t="s">
        <v>73</v>
      </c>
      <c r="AT6" s="138" t="s">
        <v>112</v>
      </c>
      <c r="AU6" s="138" t="s">
        <v>113</v>
      </c>
      <c r="AV6" s="138" t="s">
        <v>114</v>
      </c>
      <c r="AW6" s="138" t="s">
        <v>74</v>
      </c>
      <c r="AX6" s="138" t="s">
        <v>221</v>
      </c>
    </row>
    <row r="7" spans="1:52" s="131" customFormat="1">
      <c r="A7" s="131">
        <v>2</v>
      </c>
      <c r="B7" s="3" t="s">
        <v>140</v>
      </c>
      <c r="C7" s="138"/>
      <c r="D7" s="138"/>
      <c r="E7" s="138"/>
      <c r="G7" s="132">
        <f>G6+1</f>
        <v>2</v>
      </c>
      <c r="H7" s="3" t="s">
        <v>140</v>
      </c>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row>
    <row r="8" spans="1:52" ht="5.25" customHeight="1">
      <c r="A8" s="1">
        <v>3</v>
      </c>
      <c r="G8" s="56">
        <f t="shared" ref="G8:G23" si="0">G7+1</f>
        <v>3</v>
      </c>
    </row>
    <row r="9" spans="1:52">
      <c r="A9" s="1">
        <v>4</v>
      </c>
      <c r="B9" s="5" t="s">
        <v>157</v>
      </c>
      <c r="C9" s="8">
        <f>HLOOKUP($C$6,$H$6:$BW$23,$G9,FALSE)</f>
        <v>15.99527191</v>
      </c>
      <c r="D9" s="8">
        <f>HLOOKUP($D$6,$H$6:$BW$23,$G9,FALSE)</f>
        <v>13.613482100000002</v>
      </c>
      <c r="E9" s="47">
        <f t="shared" ref="E9:E12" si="1">+D9/C9-1</f>
        <v>-0.1489058656458937</v>
      </c>
      <c r="G9" s="56">
        <f t="shared" si="0"/>
        <v>4</v>
      </c>
      <c r="H9" s="5" t="s">
        <v>157</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P9" s="8">
        <v>4.7130952443980334</v>
      </c>
      <c r="AQ9" s="8">
        <v>7.39</v>
      </c>
      <c r="AR9" s="8">
        <v>14.798231445711348</v>
      </c>
      <c r="AS9" s="8">
        <v>15.011799372356622</v>
      </c>
      <c r="AT9" s="8">
        <f>16.45-AT33</f>
        <v>15.99527191</v>
      </c>
      <c r="AU9" s="8">
        <f>17.6275960348242-AU33</f>
        <v>17.140367324824201</v>
      </c>
      <c r="AV9" s="8">
        <v>18.220798819999985</v>
      </c>
      <c r="AW9" s="8">
        <v>14.920460329999997</v>
      </c>
      <c r="AX9" s="8">
        <v>13.613482100000002</v>
      </c>
      <c r="AY9" s="121"/>
      <c r="AZ9" s="121"/>
    </row>
    <row r="10" spans="1:52">
      <c r="A10" s="1">
        <v>5</v>
      </c>
      <c r="B10" s="5" t="s">
        <v>158</v>
      </c>
      <c r="C10" s="8">
        <f>HLOOKUP($C$6,$H$6:$BW$23,$G10,FALSE)</f>
        <v>-16.417526949999999</v>
      </c>
      <c r="D10" s="8">
        <f>HLOOKUP($D$6,$H$6:$BW$23,$G10,FALSE)</f>
        <v>-12.480874646494982</v>
      </c>
      <c r="E10" s="47">
        <f t="shared" si="1"/>
        <v>-0.2397835140148814</v>
      </c>
      <c r="G10" s="56">
        <f t="shared" si="0"/>
        <v>5</v>
      </c>
      <c r="H10" s="5" t="s">
        <v>158</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c r="AP10" s="8">
        <v>-15.030657780752792</v>
      </c>
      <c r="AQ10" s="8">
        <v>-16.739999999999998</v>
      </c>
      <c r="AR10" s="8">
        <v>-18.936528970145986</v>
      </c>
      <c r="AS10" s="8">
        <v>-17.451730310295329</v>
      </c>
      <c r="AT10" s="8">
        <f>-22.06-AT34</f>
        <v>-16.417526949999999</v>
      </c>
      <c r="AU10" s="8">
        <f>-21.0050914995364-AU34</f>
        <v>-15.010323759536405</v>
      </c>
      <c r="AV10" s="8">
        <v>-13.926444329354201</v>
      </c>
      <c r="AW10" s="8">
        <v>-13.045145169894102</v>
      </c>
      <c r="AX10" s="8">
        <v>-12.480874646494982</v>
      </c>
      <c r="AY10" s="121"/>
      <c r="AZ10" s="121"/>
    </row>
    <row r="11" spans="1:52">
      <c r="A11" s="1">
        <v>6</v>
      </c>
      <c r="B11" s="5" t="s">
        <v>159</v>
      </c>
      <c r="C11" s="8">
        <f>HLOOKUP($C$6,$H$6:$BW$23,$G11,FALSE)</f>
        <v>-4.6972115600000004</v>
      </c>
      <c r="D11" s="8">
        <f>HLOOKUP($D$6,$H$6:$BW$23,$G11,FALSE)</f>
        <v>0.3381039628903304</v>
      </c>
      <c r="E11" s="47" t="s">
        <v>131</v>
      </c>
      <c r="G11" s="56">
        <f t="shared" si="0"/>
        <v>6</v>
      </c>
      <c r="H11" s="5" t="s">
        <v>159</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P11" s="8">
        <v>-10.035349439768115</v>
      </c>
      <c r="AQ11" s="8">
        <v>-2.95</v>
      </c>
      <c r="AR11" s="8">
        <v>9.3632037117744531</v>
      </c>
      <c r="AS11" s="8">
        <v>0.65734639204547696</v>
      </c>
      <c r="AT11" s="8">
        <f>-3.11-AT35</f>
        <v>-4.6972115600000004</v>
      </c>
      <c r="AU11" s="8">
        <f>-3.99090034306757-AU35</f>
        <v>-1.9739785330675694</v>
      </c>
      <c r="AV11" s="8">
        <v>-0.8281157996298063</v>
      </c>
      <c r="AW11" s="8">
        <v>0.6194717667019316</v>
      </c>
      <c r="AX11" s="8">
        <v>0.3381039628903304</v>
      </c>
      <c r="AY11" s="121"/>
      <c r="AZ11" s="121"/>
    </row>
    <row r="12" spans="1:52">
      <c r="A12" s="1">
        <v>7</v>
      </c>
      <c r="B12" s="5" t="s">
        <v>160</v>
      </c>
      <c r="C12" s="8">
        <f>HLOOKUP($C$6,$H$6:$BW$23,$G12,FALSE)</f>
        <v>3.37</v>
      </c>
      <c r="D12" s="8">
        <f>HLOOKUP($D$6,$H$6:$BW$23,$G12,FALSE)</f>
        <v>3.3325563399999996</v>
      </c>
      <c r="E12" s="47">
        <f t="shared" si="1"/>
        <v>-1.1110878338279062E-2</v>
      </c>
      <c r="G12" s="56">
        <f t="shared" si="0"/>
        <v>7</v>
      </c>
      <c r="H12" s="5" t="s">
        <v>160</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P12" s="8">
        <v>2.6146828799999997</v>
      </c>
      <c r="AQ12" s="8">
        <v>3.19</v>
      </c>
      <c r="AR12" s="8">
        <v>3.7476725300000004</v>
      </c>
      <c r="AS12" s="8">
        <v>4.0273403800000001</v>
      </c>
      <c r="AT12" s="8">
        <f>3.37</f>
        <v>3.37</v>
      </c>
      <c r="AU12" s="8">
        <f>2.82167445</f>
        <v>2.8216744500000002</v>
      </c>
      <c r="AV12" s="8">
        <v>2.9199357299999988</v>
      </c>
      <c r="AW12" s="8">
        <v>3.0067959499999999</v>
      </c>
      <c r="AX12" s="8">
        <v>3.3325563399999996</v>
      </c>
      <c r="AY12" s="121"/>
      <c r="AZ12" s="121"/>
    </row>
    <row r="13" spans="1:52">
      <c r="A13" s="1">
        <v>8</v>
      </c>
      <c r="B13" s="5" t="s">
        <v>161</v>
      </c>
      <c r="C13" s="8">
        <f>HLOOKUP($C$6,$H$6:$BW$23,$G13,FALSE)</f>
        <v>95.909862180000005</v>
      </c>
      <c r="D13" s="8">
        <f>HLOOKUP($D$6,$H$6:$BW$23,$G13,FALSE)</f>
        <v>-9.6901378199999986</v>
      </c>
      <c r="E13" s="47" t="s">
        <v>131</v>
      </c>
      <c r="G13" s="56">
        <f t="shared" si="0"/>
        <v>8</v>
      </c>
      <c r="H13" s="5" t="s">
        <v>161</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P13" s="8">
        <v>-13.536985459851605</v>
      </c>
      <c r="AQ13" s="8">
        <v>-17.059999999999999</v>
      </c>
      <c r="AR13" s="8">
        <v>-24.480819553285279</v>
      </c>
      <c r="AS13" s="8">
        <v>-14.334719300284476</v>
      </c>
      <c r="AT13" s="8">
        <f>94-AT36</f>
        <v>95.909862180000005</v>
      </c>
      <c r="AU13" s="8">
        <f>4.08176518794018-AU36</f>
        <v>6.4755275779401789</v>
      </c>
      <c r="AV13" s="8">
        <v>-27.041849934107219</v>
      </c>
      <c r="AW13" s="8">
        <v>-14.248385925640481</v>
      </c>
      <c r="AX13" s="8">
        <f>-11.6-AX36</f>
        <v>-9.6901378199999986</v>
      </c>
      <c r="AY13" s="121"/>
      <c r="AZ13" s="121"/>
    </row>
    <row r="14" spans="1:52" ht="5.25" customHeight="1">
      <c r="A14" s="1">
        <v>9</v>
      </c>
      <c r="E14" s="38"/>
      <c r="G14" s="56">
        <f t="shared" si="0"/>
        <v>9</v>
      </c>
      <c r="AY14" s="121"/>
      <c r="AZ14" s="121"/>
    </row>
    <row r="15" spans="1:52">
      <c r="A15" s="1">
        <v>10</v>
      </c>
      <c r="B15" s="6" t="s">
        <v>162</v>
      </c>
      <c r="C15" s="9">
        <f t="shared" ref="C15:C23" si="2">HLOOKUP($C$6,$H$6:$BW$23,$G15,FALSE)</f>
        <v>94.160395579999999</v>
      </c>
      <c r="D15" s="9">
        <f t="shared" ref="D15:D23" si="3">HLOOKUP($D$6,$H$6:$BW$23,$G15,FALSE)</f>
        <v>-4.8868700636046487</v>
      </c>
      <c r="E15" s="66" t="s">
        <v>131</v>
      </c>
      <c r="G15" s="56">
        <f t="shared" si="0"/>
        <v>10</v>
      </c>
      <c r="H15" s="6" t="s">
        <v>162</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4">SUM(Y9:Y13)</f>
        <v>-12.443038860000001</v>
      </c>
      <c r="Z15" s="9">
        <f t="shared" si="4"/>
        <v>-25.462410850000005</v>
      </c>
      <c r="AA15" s="9">
        <f t="shared" si="4"/>
        <v>-14.737552370000003</v>
      </c>
      <c r="AB15" s="9">
        <f t="shared" si="4"/>
        <v>-44.944271349999994</v>
      </c>
      <c r="AC15" s="9">
        <f>SUM(AC9:AC13)</f>
        <v>-15.2278413</v>
      </c>
      <c r="AD15" s="9">
        <f t="shared" si="4"/>
        <v>-17.997345240000001</v>
      </c>
      <c r="AE15" s="9">
        <f t="shared" si="4"/>
        <v>-23.310579799999999</v>
      </c>
      <c r="AF15" s="9">
        <f t="shared" si="4"/>
        <v>-93.356927600000006</v>
      </c>
      <c r="AG15" s="9">
        <f>SUM(AG9:AG13)</f>
        <v>-49.377285399999998</v>
      </c>
      <c r="AH15" s="9">
        <f t="shared" si="4"/>
        <v>-12.911768689999999</v>
      </c>
      <c r="AI15" s="9">
        <f t="shared" ref="AI15:AX15" si="5">SUM(AI9:AI13)</f>
        <v>-18.343538010000007</v>
      </c>
      <c r="AJ15" s="9">
        <f t="shared" si="5"/>
        <v>-20.672808236935449</v>
      </c>
      <c r="AK15" s="9">
        <f t="shared" si="5"/>
        <v>-36.077653113024901</v>
      </c>
      <c r="AL15" s="9">
        <f t="shared" si="5"/>
        <v>-33.462068015730701</v>
      </c>
      <c r="AM15" s="9">
        <f t="shared" si="5"/>
        <v>799.09281796000573</v>
      </c>
      <c r="AN15" s="9">
        <f t="shared" si="5"/>
        <v>-176.04105226939856</v>
      </c>
      <c r="AO15" s="9">
        <f t="shared" si="5"/>
        <v>-23.90028385635889</v>
      </c>
      <c r="AP15" s="9">
        <f t="shared" ref="AP15" si="6">SUM(AP9:AP13)</f>
        <v>-31.275214555974479</v>
      </c>
      <c r="AQ15" s="9">
        <f t="shared" si="5"/>
        <v>-26.169999999999995</v>
      </c>
      <c r="AR15" s="9">
        <f>SUM(AR9:AR13)</f>
        <v>-15.508240835945463</v>
      </c>
      <c r="AS15" s="9">
        <f t="shared" si="5"/>
        <v>-12.089963466177705</v>
      </c>
      <c r="AT15" s="9">
        <f t="shared" si="5"/>
        <v>94.160395579999999</v>
      </c>
      <c r="AU15" s="9">
        <f t="shared" si="5"/>
        <v>9.453267060160405</v>
      </c>
      <c r="AV15" s="9">
        <f t="shared" si="5"/>
        <v>-20.655675513091243</v>
      </c>
      <c r="AW15" s="9">
        <f t="shared" si="5"/>
        <v>-8.7468030488326534</v>
      </c>
      <c r="AX15" s="9">
        <f t="shared" si="5"/>
        <v>-4.8868700636046487</v>
      </c>
      <c r="AY15" s="121"/>
      <c r="AZ15" s="121"/>
    </row>
    <row r="16" spans="1:52" ht="5.25" customHeight="1">
      <c r="A16" s="1">
        <v>11</v>
      </c>
      <c r="E16" s="38"/>
      <c r="G16" s="56">
        <f t="shared" si="0"/>
        <v>11</v>
      </c>
      <c r="AY16" s="121"/>
      <c r="AZ16" s="121"/>
    </row>
    <row r="17" spans="1:52">
      <c r="A17" s="1">
        <v>12</v>
      </c>
      <c r="B17" s="6" t="s">
        <v>163</v>
      </c>
      <c r="C17" s="9">
        <f t="shared" si="2"/>
        <v>186.96048632000003</v>
      </c>
      <c r="D17" s="9">
        <f t="shared" si="3"/>
        <v>84.276083173457749</v>
      </c>
      <c r="E17" s="66">
        <f t="shared" ref="E17:E23" si="7">+D17/C17-1</f>
        <v>-0.54923050943924323</v>
      </c>
      <c r="G17" s="56">
        <f t="shared" si="0"/>
        <v>12</v>
      </c>
      <c r="H17" s="6" t="s">
        <v>163</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93.54303050999998</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c r="AP17" s="9">
        <v>53.43652703288933</v>
      </c>
      <c r="AQ17" s="9">
        <v>109.08</v>
      </c>
      <c r="AR17" s="9">
        <f>180.015401873629-AR40</f>
        <v>162.16533593362897</v>
      </c>
      <c r="AS17" s="9">
        <f>122.34237741378-AS40</f>
        <v>113.36032741377998</v>
      </c>
      <c r="AT17" s="9">
        <f>173.11-AT40</f>
        <v>186.96048632000003</v>
      </c>
      <c r="AU17" s="9">
        <f>175.811279357242-AU40</f>
        <v>145.10802060724203</v>
      </c>
      <c r="AV17" s="9">
        <v>70.814463995710923</v>
      </c>
      <c r="AW17" s="9">
        <v>78.795802483019429</v>
      </c>
      <c r="AX17" s="9">
        <v>84.276083173457749</v>
      </c>
      <c r="AY17" s="121"/>
      <c r="AZ17" s="121"/>
    </row>
    <row r="18" spans="1:52" ht="5.25" customHeight="1">
      <c r="A18" s="1">
        <v>13</v>
      </c>
      <c r="G18" s="56">
        <f t="shared" si="0"/>
        <v>13</v>
      </c>
      <c r="AY18" s="121"/>
      <c r="AZ18" s="121"/>
    </row>
    <row r="19" spans="1:52">
      <c r="A19" s="1">
        <v>14</v>
      </c>
      <c r="B19" s="5" t="s">
        <v>164</v>
      </c>
      <c r="C19" s="8">
        <f t="shared" si="2"/>
        <v>-49.237787169999997</v>
      </c>
      <c r="D19" s="8">
        <f t="shared" si="3"/>
        <v>-22.1</v>
      </c>
      <c r="E19" s="47">
        <f t="shared" si="7"/>
        <v>-0.55115773331370854</v>
      </c>
      <c r="G19" s="56">
        <f t="shared" si="0"/>
        <v>14</v>
      </c>
      <c r="H19" s="5" t="s">
        <v>164</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c r="AP19" s="8">
        <v>-13.464414997421038</v>
      </c>
      <c r="AQ19" s="8">
        <v>-28.65</v>
      </c>
      <c r="AR19" s="8">
        <f>+-43.8018539367949-AR42</f>
        <v>-40.874391956794895</v>
      </c>
      <c r="AS19" s="8">
        <f>+-30.3638468054852-AS42</f>
        <v>-29.754651475485201</v>
      </c>
      <c r="AT19" s="8">
        <f>-41.9-AT42</f>
        <v>-49.237787169999997</v>
      </c>
      <c r="AU19" s="8">
        <v>-36.887290267886129</v>
      </c>
      <c r="AV19" s="8">
        <v>-20.21331412082408</v>
      </c>
      <c r="AW19" s="8">
        <v>-20.483441256209641</v>
      </c>
      <c r="AX19" s="8">
        <v>-22.1</v>
      </c>
      <c r="AY19" s="121"/>
      <c r="AZ19" s="121"/>
    </row>
    <row r="20" spans="1:52" ht="5.25" customHeight="1">
      <c r="A20" s="1">
        <v>15</v>
      </c>
      <c r="E20" s="80"/>
      <c r="G20" s="56">
        <f t="shared" si="0"/>
        <v>15</v>
      </c>
      <c r="AY20" s="121"/>
      <c r="AZ20" s="121"/>
    </row>
    <row r="21" spans="1:52">
      <c r="A21" s="1">
        <v>16</v>
      </c>
      <c r="B21" s="3" t="s">
        <v>165</v>
      </c>
      <c r="C21" s="16">
        <f t="shared" si="2"/>
        <v>137.72269915000001</v>
      </c>
      <c r="D21" s="16">
        <f t="shared" si="3"/>
        <v>62.1698671932282</v>
      </c>
      <c r="E21" s="48">
        <f t="shared" si="7"/>
        <v>-0.54858663403397157</v>
      </c>
      <c r="G21" s="56">
        <f t="shared" si="0"/>
        <v>16</v>
      </c>
      <c r="H21" s="3" t="s">
        <v>165</v>
      </c>
      <c r="I21" s="16">
        <v>51.536401250000011</v>
      </c>
      <c r="J21" s="16">
        <v>71.575583770000009</v>
      </c>
      <c r="K21" s="16">
        <v>18.204375799999987</v>
      </c>
      <c r="L21" s="16">
        <v>-81.287743809999995</v>
      </c>
      <c r="M21" s="16">
        <v>6.9694774900000382</v>
      </c>
      <c r="N21" s="16">
        <v>50.099561220000048</v>
      </c>
      <c r="O21" s="16">
        <v>75.71629907999997</v>
      </c>
      <c r="P21" s="16">
        <v>67.646938100000014</v>
      </c>
      <c r="Q21" s="16">
        <v>68.193468420000002</v>
      </c>
      <c r="R21" s="16">
        <v>52.127087689999961</v>
      </c>
      <c r="S21" s="16">
        <v>30.330783369999999</v>
      </c>
      <c r="T21" s="16">
        <v>46.664837869999964</v>
      </c>
      <c r="U21" s="16">
        <f>+U17+U19</f>
        <v>52.731249969999951</v>
      </c>
      <c r="V21" s="16">
        <f t="shared" ref="V21:AB21" si="8">+V17+V19</f>
        <v>79.445128930000024</v>
      </c>
      <c r="W21" s="16">
        <f t="shared" si="8"/>
        <v>70.00171270999995</v>
      </c>
      <c r="X21" s="16">
        <f t="shared" si="8"/>
        <v>73.361478960000056</v>
      </c>
      <c r="Y21" s="16">
        <f t="shared" si="8"/>
        <v>65.876825310000044</v>
      </c>
      <c r="Z21" s="16">
        <f t="shared" si="8"/>
        <v>48.131741559999966</v>
      </c>
      <c r="AA21" s="16">
        <f t="shared" si="8"/>
        <v>59.815981430000029</v>
      </c>
      <c r="AB21" s="16">
        <f t="shared" si="8"/>
        <v>62.376128069999979</v>
      </c>
      <c r="AC21" s="16">
        <f>+AC17+AC19</f>
        <v>61.372555550000001</v>
      </c>
      <c r="AD21" s="16">
        <f t="shared" ref="AD21:AG21" si="9">+AD17+AD19</f>
        <v>61.205108160000037</v>
      </c>
      <c r="AE21" s="16">
        <f t="shared" si="9"/>
        <v>63.603551690000003</v>
      </c>
      <c r="AF21" s="16">
        <f t="shared" si="9"/>
        <v>16.889084191313714</v>
      </c>
      <c r="AG21" s="16">
        <f t="shared" si="9"/>
        <v>47.022925539999996</v>
      </c>
      <c r="AH21" s="16">
        <f>+AH17+AH19</f>
        <v>58.716749100000001</v>
      </c>
      <c r="AI21" s="16">
        <f>62.20715213-AI46</f>
        <v>64.605734240000004</v>
      </c>
      <c r="AJ21" s="16">
        <f t="shared" ref="AJ21" si="10">+AJ17+AJ19</f>
        <v>66.30024252699377</v>
      </c>
      <c r="AK21" s="16">
        <f>+-41.2161135274282-AK44</f>
        <v>-36.529066297428194</v>
      </c>
      <c r="AL21" s="16">
        <f>32.8849414708408-AL44</f>
        <v>37.339180980840787</v>
      </c>
      <c r="AM21" s="16">
        <f>600.900945330946-AM44</f>
        <v>607.47271630094599</v>
      </c>
      <c r="AN21" s="16">
        <f>+-52.3878315885635-AN44</f>
        <v>-57.883245058563475</v>
      </c>
      <c r="AO21" s="16">
        <f>55.8799637719585-AO44</f>
        <v>38.970163021958498</v>
      </c>
      <c r="AP21" s="16">
        <v>40</v>
      </c>
      <c r="AQ21" s="16">
        <v>80.400000000000006</v>
      </c>
      <c r="AR21" s="16">
        <f>+AR17+AR19</f>
        <v>121.29094397683407</v>
      </c>
      <c r="AS21" s="16">
        <f>+AS17+AS19</f>
        <v>83.60567593829478</v>
      </c>
      <c r="AT21" s="16">
        <f>131.21-AT44</f>
        <v>137.72269915000001</v>
      </c>
      <c r="AU21" s="16">
        <v>108.24676475161203</v>
      </c>
      <c r="AV21" s="16">
        <v>50.601149874886858</v>
      </c>
      <c r="AW21" s="16">
        <v>58.312361226809784</v>
      </c>
      <c r="AX21" s="16">
        <v>62.1698671932282</v>
      </c>
      <c r="AY21" s="121"/>
      <c r="AZ21" s="121"/>
    </row>
    <row r="22" spans="1:52" ht="5.25" customHeight="1">
      <c r="A22" s="1">
        <v>17</v>
      </c>
      <c r="E22" s="89"/>
      <c r="G22" s="56">
        <f t="shared" si="0"/>
        <v>17</v>
      </c>
      <c r="AY22" s="121"/>
      <c r="AZ22" s="121"/>
    </row>
    <row r="23" spans="1:52">
      <c r="A23" s="1">
        <v>18</v>
      </c>
      <c r="B23" s="5" t="s">
        <v>166</v>
      </c>
      <c r="C23" s="8">
        <f t="shared" si="2"/>
        <v>137.778572250548</v>
      </c>
      <c r="D23" s="8">
        <f t="shared" si="3"/>
        <v>62.1698671932282</v>
      </c>
      <c r="E23" s="47">
        <f t="shared" si="7"/>
        <v>-0.54876969489730709</v>
      </c>
      <c r="G23" s="56">
        <f t="shared" si="0"/>
        <v>18</v>
      </c>
      <c r="H23" s="5" t="s">
        <v>166</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f t="shared" ref="AO23:AR23" si="11">+AO21-AO46</f>
        <v>30.710184041958499</v>
      </c>
      <c r="AP23" s="8">
        <f t="shared" si="11"/>
        <v>41.130482450000009</v>
      </c>
      <c r="AQ23" s="8">
        <f t="shared" si="11"/>
        <v>80.400000000000006</v>
      </c>
      <c r="AR23" s="8">
        <f t="shared" si="11"/>
        <v>113.68041595723406</v>
      </c>
      <c r="AS23" s="8">
        <f>87.9011691382947-AS46</f>
        <v>82.961184882994701</v>
      </c>
      <c r="AT23" s="8">
        <f>133.936079752048-AT46</f>
        <v>137.778572250548</v>
      </c>
      <c r="AU23" s="8">
        <f>117.717456127863-AU46</f>
        <v>108.17294215906301</v>
      </c>
      <c r="AV23" s="8">
        <f>53.932438174887-AV46</f>
        <v>50.629116601070244</v>
      </c>
      <c r="AW23" s="8">
        <f>58.6363040968098-AW46</f>
        <v>58.331451916909792</v>
      </c>
      <c r="AX23" s="8">
        <v>62.1698671932282</v>
      </c>
      <c r="AY23" s="121"/>
      <c r="AZ23" s="121"/>
    </row>
    <row r="24" spans="1:52">
      <c r="AG24" s="46"/>
    </row>
    <row r="25" spans="1:52">
      <c r="AQ25" s="46"/>
      <c r="AR25" s="46"/>
      <c r="AS25" s="46"/>
      <c r="AT25" s="46"/>
      <c r="AU25" s="46"/>
      <c r="AV25" s="46"/>
      <c r="AW25" s="46"/>
      <c r="AX25" s="46"/>
    </row>
    <row r="26" spans="1:52">
      <c r="U26" s="32"/>
      <c r="V26" s="32"/>
      <c r="W26" s="32"/>
      <c r="X26" s="32"/>
      <c r="Y26" s="32"/>
      <c r="Z26" s="32"/>
      <c r="AA26" s="32"/>
      <c r="AB26" s="32"/>
      <c r="AC26" s="32"/>
      <c r="AD26" s="32"/>
      <c r="AE26" s="32"/>
      <c r="AF26" s="32"/>
      <c r="AG26" s="32"/>
      <c r="AH26" s="32"/>
      <c r="AI26" s="32"/>
      <c r="AJ26" s="32"/>
      <c r="AK26" s="32"/>
      <c r="AL26" s="32"/>
      <c r="AM26" s="32"/>
      <c r="AN26" s="32"/>
      <c r="AO26" s="32"/>
    </row>
    <row r="28" spans="1:52" ht="23.5">
      <c r="B28" s="11" t="s">
        <v>37</v>
      </c>
      <c r="C28" s="12"/>
      <c r="D28" s="12"/>
      <c r="E28" s="12"/>
      <c r="H28" s="11" t="s">
        <v>37</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row>
    <row r="29" spans="1:52" ht="5.25" customHeight="1"/>
    <row r="30" spans="1:52" s="131" customFormat="1" ht="15.75" customHeight="1">
      <c r="A30" s="131">
        <v>1</v>
      </c>
      <c r="B30" s="3" t="s">
        <v>169</v>
      </c>
      <c r="C30" s="138" t="s">
        <v>112</v>
      </c>
      <c r="D30" s="138" t="s">
        <v>221</v>
      </c>
      <c r="E30" s="138" t="s">
        <v>75</v>
      </c>
      <c r="G30" s="132">
        <v>1</v>
      </c>
      <c r="H30" s="3" t="s">
        <v>169</v>
      </c>
      <c r="I30" s="138" t="s">
        <v>76</v>
      </c>
      <c r="J30" s="138" t="s">
        <v>77</v>
      </c>
      <c r="K30" s="138" t="s">
        <v>78</v>
      </c>
      <c r="L30" s="138" t="s">
        <v>79</v>
      </c>
      <c r="M30" s="138" t="s">
        <v>80</v>
      </c>
      <c r="N30" s="138" t="s">
        <v>81</v>
      </c>
      <c r="O30" s="138" t="s">
        <v>82</v>
      </c>
      <c r="P30" s="138" t="s">
        <v>83</v>
      </c>
      <c r="Q30" s="138" t="s">
        <v>84</v>
      </c>
      <c r="R30" s="138" t="s">
        <v>85</v>
      </c>
      <c r="S30" s="138" t="s">
        <v>86</v>
      </c>
      <c r="T30" s="138" t="s">
        <v>87</v>
      </c>
      <c r="U30" s="138" t="s">
        <v>88</v>
      </c>
      <c r="V30" s="138" t="s">
        <v>89</v>
      </c>
      <c r="W30" s="138" t="s">
        <v>90</v>
      </c>
      <c r="X30" s="138" t="s">
        <v>91</v>
      </c>
      <c r="Y30" s="138" t="s">
        <v>92</v>
      </c>
      <c r="Z30" s="138" t="s">
        <v>93</v>
      </c>
      <c r="AA30" s="138" t="s">
        <v>94</v>
      </c>
      <c r="AB30" s="138" t="s">
        <v>95</v>
      </c>
      <c r="AC30" s="138" t="s">
        <v>96</v>
      </c>
      <c r="AD30" s="138" t="s">
        <v>97</v>
      </c>
      <c r="AE30" s="138" t="s">
        <v>98</v>
      </c>
      <c r="AF30" s="138" t="s">
        <v>99</v>
      </c>
      <c r="AG30" s="138" t="s">
        <v>100</v>
      </c>
      <c r="AH30" s="138" t="s">
        <v>101</v>
      </c>
      <c r="AI30" s="138" t="s">
        <v>102</v>
      </c>
      <c r="AJ30" s="138" t="s">
        <v>103</v>
      </c>
      <c r="AK30" s="138" t="s">
        <v>104</v>
      </c>
      <c r="AL30" s="138" t="s">
        <v>105</v>
      </c>
      <c r="AM30" s="138" t="s">
        <v>106</v>
      </c>
      <c r="AN30" s="138" t="s">
        <v>107</v>
      </c>
      <c r="AO30" s="138" t="s">
        <v>108</v>
      </c>
      <c r="AP30" s="138" t="s">
        <v>109</v>
      </c>
      <c r="AQ30" s="138" t="s">
        <v>110</v>
      </c>
      <c r="AR30" s="138" t="s">
        <v>111</v>
      </c>
      <c r="AS30" s="138" t="s">
        <v>73</v>
      </c>
      <c r="AT30" s="138" t="s">
        <v>112</v>
      </c>
      <c r="AU30" s="138" t="s">
        <v>113</v>
      </c>
      <c r="AV30" s="138" t="s">
        <v>114</v>
      </c>
      <c r="AW30" s="138" t="s">
        <v>74</v>
      </c>
      <c r="AX30" s="138" t="s">
        <v>221</v>
      </c>
    </row>
    <row r="31" spans="1:52" s="131" customFormat="1">
      <c r="A31" s="131">
        <v>2</v>
      </c>
      <c r="B31" s="3" t="s">
        <v>140</v>
      </c>
      <c r="C31" s="138"/>
      <c r="D31" s="138"/>
      <c r="E31" s="138"/>
      <c r="G31" s="132">
        <f>G30+1</f>
        <v>2</v>
      </c>
      <c r="H31" s="3" t="s">
        <v>140</v>
      </c>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row>
    <row r="32" spans="1:52" ht="5.25" customHeight="1">
      <c r="A32" s="1">
        <v>3</v>
      </c>
      <c r="G32" s="56">
        <f t="shared" ref="G32:G47" si="12">G31+1</f>
        <v>3</v>
      </c>
    </row>
    <row r="33" spans="1:53">
      <c r="A33" s="1">
        <v>4</v>
      </c>
      <c r="B33" s="5" t="s">
        <v>157</v>
      </c>
      <c r="C33" s="8">
        <f t="shared" ref="C33:C47" si="13">HLOOKUP($C$30,$H$30:$BY$47,$G33,FALSE)</f>
        <v>0.45472809000000003</v>
      </c>
      <c r="D33" s="8">
        <f t="shared" ref="D33:D47" si="14">HLOOKUP($D$30,$H$30:$BY$47,$G33,FALSE)</f>
        <v>0.46529090999999845</v>
      </c>
      <c r="E33" s="35">
        <f t="shared" ref="E33:E47" si="15">+D33/C33-1</f>
        <v>2.3228870686212488E-2</v>
      </c>
      <c r="G33" s="56">
        <f t="shared" si="12"/>
        <v>4</v>
      </c>
      <c r="H33" s="5" t="s">
        <v>157</v>
      </c>
      <c r="I33" s="17"/>
      <c r="J33" s="17"/>
      <c r="K33" s="17"/>
      <c r="L33" s="17"/>
      <c r="M33" s="17"/>
      <c r="N33" s="17"/>
      <c r="O33" s="17"/>
      <c r="P33" s="17"/>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c r="AP33" s="8">
        <v>-0.26474429999999999</v>
      </c>
      <c r="AQ33" s="8">
        <v>0.22</v>
      </c>
      <c r="AR33" s="8">
        <v>0.34346562999999997</v>
      </c>
      <c r="AS33" s="8">
        <v>0.57678616000000005</v>
      </c>
      <c r="AT33" s="8">
        <v>0.45472809000000003</v>
      </c>
      <c r="AU33" s="8">
        <v>0.4872287099999999</v>
      </c>
      <c r="AV33" s="8">
        <v>0.48817739999999998</v>
      </c>
      <c r="AW33" s="8">
        <f>15.29416582-AW9</f>
        <v>0.37370549000000253</v>
      </c>
      <c r="AX33" s="8">
        <f>14.07877301-AX9</f>
        <v>0.46529090999999845</v>
      </c>
    </row>
    <row r="34" spans="1:53">
      <c r="A34" s="1">
        <v>5</v>
      </c>
      <c r="B34" s="5" t="s">
        <v>158</v>
      </c>
      <c r="C34" s="8">
        <f t="shared" si="13"/>
        <v>-5.6424730500000004</v>
      </c>
      <c r="D34" s="8">
        <f t="shared" si="14"/>
        <v>-5.080232350000017</v>
      </c>
      <c r="E34" s="35">
        <f t="shared" si="15"/>
        <v>-9.9644374907556399E-2</v>
      </c>
      <c r="G34" s="56">
        <f t="shared" si="12"/>
        <v>5</v>
      </c>
      <c r="H34" s="5" t="s">
        <v>158</v>
      </c>
      <c r="I34" s="17"/>
      <c r="J34" s="17"/>
      <c r="K34" s="17"/>
      <c r="L34" s="17"/>
      <c r="M34" s="17"/>
      <c r="N34" s="17"/>
      <c r="O34" s="17"/>
      <c r="P34" s="17"/>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c r="AP34" s="8">
        <v>-5.8283171299999994</v>
      </c>
      <c r="AQ34" s="8">
        <v>-6.28</v>
      </c>
      <c r="AR34" s="8">
        <v>-5.6869517300000094</v>
      </c>
      <c r="AS34" s="8">
        <v>-5.8913562300000004</v>
      </c>
      <c r="AT34" s="8">
        <v>-5.6424730500000004</v>
      </c>
      <c r="AU34" s="8">
        <v>-5.9947677399999959</v>
      </c>
      <c r="AV34" s="8">
        <v>-5.5218727000000074</v>
      </c>
      <c r="AW34" s="8">
        <f>-18.4-AW10</f>
        <v>-5.3548548301058965</v>
      </c>
      <c r="AX34" s="8">
        <f>-17.561106996495-AX10</f>
        <v>-5.080232350000017</v>
      </c>
      <c r="AZ34" s="50"/>
      <c r="BA34" s="51"/>
    </row>
    <row r="35" spans="1:53" ht="11.15" customHeight="1">
      <c r="A35" s="1">
        <v>6</v>
      </c>
      <c r="B35" s="5" t="s">
        <v>159</v>
      </c>
      <c r="C35" s="8">
        <f t="shared" si="13"/>
        <v>1.5872115600000005</v>
      </c>
      <c r="D35" s="8">
        <f t="shared" si="14"/>
        <v>-0.76410181000000144</v>
      </c>
      <c r="E35" s="47" t="s">
        <v>131</v>
      </c>
      <c r="G35" s="56">
        <f t="shared" si="12"/>
        <v>6</v>
      </c>
      <c r="H35" s="5" t="s">
        <v>159</v>
      </c>
      <c r="I35" s="17"/>
      <c r="J35" s="17"/>
      <c r="K35" s="17"/>
      <c r="L35" s="17"/>
      <c r="M35" s="17"/>
      <c r="N35" s="17"/>
      <c r="O35" s="17"/>
      <c r="P35" s="17"/>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c r="AP35" s="8">
        <v>-0.93457182999999999</v>
      </c>
      <c r="AQ35" s="8">
        <v>-0.52</v>
      </c>
      <c r="AR35" s="8">
        <v>0.92341164000000031</v>
      </c>
      <c r="AS35" s="8">
        <v>0.29978549999999993</v>
      </c>
      <c r="AT35" s="8">
        <v>1.5872115600000005</v>
      </c>
      <c r="AU35" s="8">
        <v>-2.0169218100000004</v>
      </c>
      <c r="AV35" s="8">
        <v>0.31644937999999967</v>
      </c>
      <c r="AW35" s="8">
        <f>0.6-AW11</f>
        <v>-1.9471766701931625E-2</v>
      </c>
      <c r="AX35" s="8">
        <f>-0.425997847109671-AX11</f>
        <v>-0.76410181000000144</v>
      </c>
      <c r="AZ35" s="50"/>
    </row>
    <row r="36" spans="1:53">
      <c r="A36" s="1">
        <v>7</v>
      </c>
      <c r="B36" s="5" t="s">
        <v>161</v>
      </c>
      <c r="C36" s="8">
        <f t="shared" si="13"/>
        <v>-1.9098621800000006</v>
      </c>
      <c r="D36" s="8">
        <f t="shared" si="14"/>
        <v>-1.9098621800000006</v>
      </c>
      <c r="E36" s="47">
        <f t="shared" si="15"/>
        <v>0</v>
      </c>
      <c r="G36" s="56">
        <f t="shared" si="12"/>
        <v>7</v>
      </c>
      <c r="H36" s="5" t="s">
        <v>161</v>
      </c>
      <c r="I36" s="17"/>
      <c r="J36" s="17"/>
      <c r="K36" s="17"/>
      <c r="L36" s="17"/>
      <c r="M36" s="17"/>
      <c r="N36" s="17"/>
      <c r="O36" s="17"/>
      <c r="P36" s="17"/>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c r="AP36" s="8">
        <v>-2.5424426100000002</v>
      </c>
      <c r="AQ36" s="8">
        <v>-1.38</v>
      </c>
      <c r="AR36" s="8">
        <v>-2.3350754799999986</v>
      </c>
      <c r="AS36" s="8">
        <v>-2.04601649</v>
      </c>
      <c r="AT36" s="8">
        <v>-1.9098621800000006</v>
      </c>
      <c r="AU36" s="8">
        <v>-2.3937623899999996</v>
      </c>
      <c r="AV36" s="8">
        <v>-2.9546811799999992</v>
      </c>
      <c r="AW36" s="8">
        <f>-17.1-AW13</f>
        <v>-2.8516140743595209</v>
      </c>
      <c r="AX36" s="8">
        <v>-1.9098621800000006</v>
      </c>
      <c r="AZ36" s="46"/>
    </row>
    <row r="37" spans="1:53" ht="5.15" customHeight="1">
      <c r="A37" s="1">
        <v>8</v>
      </c>
      <c r="E37" s="64"/>
      <c r="G37" s="56">
        <f t="shared" si="12"/>
        <v>8</v>
      </c>
      <c r="S37" s="14"/>
    </row>
    <row r="38" spans="1:53">
      <c r="A38" s="1">
        <v>9</v>
      </c>
      <c r="B38" s="6" t="s">
        <v>162</v>
      </c>
      <c r="C38" s="9">
        <f t="shared" si="13"/>
        <v>-5.5103955800000008</v>
      </c>
      <c r="D38" s="9">
        <f t="shared" si="14"/>
        <v>-7.2896273526939517</v>
      </c>
      <c r="E38" s="66">
        <f t="shared" si="15"/>
        <v>0.32288639660493312</v>
      </c>
      <c r="G38" s="56">
        <f t="shared" si="12"/>
        <v>9</v>
      </c>
      <c r="H38" s="6" t="s">
        <v>162</v>
      </c>
      <c r="I38" s="18"/>
      <c r="J38" s="18"/>
      <c r="K38" s="18"/>
      <c r="L38" s="18"/>
      <c r="M38" s="18"/>
      <c r="N38" s="18"/>
      <c r="O38" s="18"/>
      <c r="P38" s="18"/>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6">+SUM(AD33:AD36)</f>
        <v>-9.3882581300000005</v>
      </c>
      <c r="AE38" s="9">
        <f t="shared" si="16"/>
        <v>-10.223773319999999</v>
      </c>
      <c r="AF38" s="9">
        <f t="shared" si="16"/>
        <v>-6.8874426900000003</v>
      </c>
      <c r="AG38" s="9">
        <f t="shared" si="16"/>
        <v>-9.1497340500000011</v>
      </c>
      <c r="AH38" s="9">
        <f t="shared" si="16"/>
        <v>-9.1990178</v>
      </c>
      <c r="AI38" s="9">
        <f t="shared" si="16"/>
        <v>-6.503122450000002</v>
      </c>
      <c r="AJ38" s="9">
        <f t="shared" si="16"/>
        <v>-186.71408519999997</v>
      </c>
      <c r="AK38" s="9">
        <f t="shared" si="16"/>
        <v>-7.7882508599999998</v>
      </c>
      <c r="AL38" s="9">
        <f t="shared" si="16"/>
        <v>-6.8635648000000016</v>
      </c>
      <c r="AM38" s="9">
        <f t="shared" si="16"/>
        <v>-8.6812930899999969</v>
      </c>
      <c r="AN38" s="9">
        <f>+SUM(AN33:AN36)</f>
        <v>-6.0392674800000012</v>
      </c>
      <c r="AO38" s="9">
        <f>+SUM(AO33:AO36)</f>
        <v>-6.6003506999999999</v>
      </c>
      <c r="AP38" s="9">
        <f>+SUM(AP33:AP36)</f>
        <v>-9.5700758700000002</v>
      </c>
      <c r="AQ38" s="9">
        <f t="shared" ref="AQ38:AR38" si="17">+SUM(AQ33:AQ36)</f>
        <v>-7.96</v>
      </c>
      <c r="AR38" s="9">
        <f t="shared" si="17"/>
        <v>-6.7551499400000079</v>
      </c>
      <c r="AS38" s="9">
        <v>-7.0608010600000011</v>
      </c>
      <c r="AT38" s="9">
        <f>SUM(AT33:AT36)</f>
        <v>-5.5103955800000008</v>
      </c>
      <c r="AU38" s="9">
        <f>SUM(AU33:AU36)</f>
        <v>-9.9182232299999953</v>
      </c>
      <c r="AV38" s="9">
        <v>-7.7</v>
      </c>
      <c r="AW38" s="9">
        <f>-16.6052626888327-AW15</f>
        <v>-7.8584596400000457</v>
      </c>
      <c r="AX38" s="9">
        <f>-12.1764974162986-AX15</f>
        <v>-7.2896273526939517</v>
      </c>
    </row>
    <row r="39" spans="1:53" ht="5.25" customHeight="1">
      <c r="A39" s="1">
        <v>10</v>
      </c>
      <c r="G39" s="56">
        <f t="shared" si="12"/>
        <v>10</v>
      </c>
      <c r="S39" s="14"/>
    </row>
    <row r="40" spans="1:53">
      <c r="A40" s="1">
        <v>11</v>
      </c>
      <c r="B40" s="6" t="s">
        <v>163</v>
      </c>
      <c r="C40" s="9">
        <f t="shared" si="13"/>
        <v>-13.850486320000007</v>
      </c>
      <c r="D40" s="9">
        <f t="shared" si="14"/>
        <v>4.3696157900000543</v>
      </c>
      <c r="E40" s="66" t="s">
        <v>131</v>
      </c>
      <c r="G40" s="56">
        <f t="shared" si="12"/>
        <v>11</v>
      </c>
      <c r="H40" s="6" t="s">
        <v>163</v>
      </c>
      <c r="I40" s="18"/>
      <c r="J40" s="18"/>
      <c r="K40" s="18"/>
      <c r="L40" s="18"/>
      <c r="M40" s="18"/>
      <c r="N40" s="18"/>
      <c r="O40" s="18"/>
      <c r="P40" s="18"/>
      <c r="Q40" s="9">
        <v>4.9281214299999956</v>
      </c>
      <c r="R40" s="9">
        <v>-1.9760049700000009</v>
      </c>
      <c r="S40" s="15">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6.397518530000009</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c r="AP40" s="9">
        <v>3.2966442299999859</v>
      </c>
      <c r="AQ40" s="9">
        <v>7.9</v>
      </c>
      <c r="AR40" s="9">
        <v>17.850065940000029</v>
      </c>
      <c r="AS40" s="9">
        <v>8.9820500000000099</v>
      </c>
      <c r="AT40" s="9">
        <v>-13.850486320000007</v>
      </c>
      <c r="AU40" s="9">
        <v>30.703258749999982</v>
      </c>
      <c r="AV40" s="9">
        <f>77.3-AV17</f>
        <v>6.4855360042890737</v>
      </c>
      <c r="AW40" s="9">
        <f>79.9175591730194-AW17</f>
        <v>1.1217566899999696</v>
      </c>
      <c r="AX40" s="9">
        <f>88.6456989634578-AX17</f>
        <v>4.3696157900000543</v>
      </c>
      <c r="AY40" s="50"/>
      <c r="AZ40" s="50"/>
    </row>
    <row r="41" spans="1:53" ht="5.25" customHeight="1">
      <c r="A41" s="1">
        <v>12</v>
      </c>
      <c r="E41" s="38"/>
      <c r="G41" s="56">
        <f t="shared" si="12"/>
        <v>12</v>
      </c>
      <c r="S41" s="14"/>
    </row>
    <row r="42" spans="1:53">
      <c r="A42" s="1">
        <v>13</v>
      </c>
      <c r="B42" s="5" t="s">
        <v>164</v>
      </c>
      <c r="C42" s="8">
        <f t="shared" si="13"/>
        <v>7.3377871700000004</v>
      </c>
      <c r="D42" s="8">
        <f t="shared" si="14"/>
        <v>-5.0756593902295002</v>
      </c>
      <c r="E42" s="47" t="s">
        <v>131</v>
      </c>
      <c r="G42" s="56">
        <f t="shared" si="12"/>
        <v>13</v>
      </c>
      <c r="H42" s="5" t="s">
        <v>164</v>
      </c>
      <c r="I42" s="17"/>
      <c r="J42" s="17"/>
      <c r="K42" s="17"/>
      <c r="L42" s="17"/>
      <c r="M42" s="17"/>
      <c r="N42" s="17"/>
      <c r="O42" s="17"/>
      <c r="P42" s="17"/>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c r="AP42" s="8">
        <v>-5.5621498699999998</v>
      </c>
      <c r="AQ42" s="8">
        <v>-7.66</v>
      </c>
      <c r="AR42" s="8">
        <v>-2.9274619800000012</v>
      </c>
      <c r="AS42" s="8">
        <v>-0.60919532999999981</v>
      </c>
      <c r="AT42" s="8">
        <v>7.3377871700000004</v>
      </c>
      <c r="AU42" s="8">
        <v>-14.526116430000002</v>
      </c>
      <c r="AV42" s="8">
        <v>-0.85412767000000045</v>
      </c>
      <c r="AW42" s="8">
        <f>-21.0884993362096-AW19</f>
        <v>-0.60505807999996009</v>
      </c>
      <c r="AX42" s="8">
        <f>-27.1756593902295-AX19</f>
        <v>-5.0756593902295002</v>
      </c>
    </row>
    <row r="43" spans="1:53" ht="5.25" customHeight="1">
      <c r="A43" s="1">
        <v>14</v>
      </c>
      <c r="E43" s="70"/>
      <c r="G43" s="56">
        <f t="shared" si="12"/>
        <v>14</v>
      </c>
      <c r="S43" s="14"/>
    </row>
    <row r="44" spans="1:53">
      <c r="A44" s="1">
        <v>15</v>
      </c>
      <c r="B44" s="3" t="s">
        <v>165</v>
      </c>
      <c r="C44" s="16">
        <f t="shared" si="13"/>
        <v>-6.5126991500000058</v>
      </c>
      <c r="D44" s="16">
        <f t="shared" si="14"/>
        <v>-0.69982761999990117</v>
      </c>
      <c r="E44" s="48">
        <f t="shared" si="15"/>
        <v>-0.89254415045413227</v>
      </c>
      <c r="G44" s="56">
        <f t="shared" si="12"/>
        <v>15</v>
      </c>
      <c r="H44" s="3" t="s">
        <v>165</v>
      </c>
      <c r="I44" s="10"/>
      <c r="J44" s="10"/>
      <c r="K44" s="10"/>
      <c r="L44" s="10"/>
      <c r="M44" s="10"/>
      <c r="N44" s="10"/>
      <c r="O44" s="10"/>
      <c r="P44" s="10"/>
      <c r="Q44" s="10">
        <v>7.5692857599999961</v>
      </c>
      <c r="R44" s="16">
        <v>-0.41102250000000096</v>
      </c>
      <c r="S44" s="16">
        <v>-1.4873732300000011</v>
      </c>
      <c r="T44" s="16">
        <v>1.7533981700000059</v>
      </c>
      <c r="U44" s="16">
        <v>7.790571510000003</v>
      </c>
      <c r="V44" s="16">
        <v>-1.1169960700000021</v>
      </c>
      <c r="W44" s="16">
        <v>0.20908006999999773</v>
      </c>
      <c r="X44" s="16">
        <v>6.1798300200000043</v>
      </c>
      <c r="Y44" s="16">
        <v>-1.4697718500000088</v>
      </c>
      <c r="Z44" s="16">
        <v>-3.3669286899999951</v>
      </c>
      <c r="AA44" s="16">
        <v>-5.9362128200000015</v>
      </c>
      <c r="AB44" s="16">
        <f>+AB40+AB42</f>
        <v>4.9975185300000096</v>
      </c>
      <c r="AC44" s="16">
        <f>+AC40+AC42</f>
        <v>4.1620151400000056</v>
      </c>
      <c r="AD44" s="16">
        <f t="shared" ref="AD44:AG44" si="18">+AD40+AD42</f>
        <v>0.17004293000000326</v>
      </c>
      <c r="AE44" s="16">
        <f t="shared" si="18"/>
        <v>-8.9109858000000024</v>
      </c>
      <c r="AF44" s="16">
        <f t="shared" si="18"/>
        <v>2.5943269099999915</v>
      </c>
      <c r="AG44" s="16">
        <f t="shared" si="18"/>
        <v>-6.5632499299999978</v>
      </c>
      <c r="AH44" s="16">
        <v>-9.0495119099999997</v>
      </c>
      <c r="AI44" s="16">
        <v>-4.8452505800000036</v>
      </c>
      <c r="AJ44" s="16">
        <f t="shared" ref="AJ44:AM44" si="19">+AJ40+AJ42</f>
        <v>-129.17836936999996</v>
      </c>
      <c r="AK44" s="16">
        <f t="shared" si="19"/>
        <v>-4.6870472300000028</v>
      </c>
      <c r="AL44" s="16">
        <f t="shared" si="19"/>
        <v>-4.4542395099999865</v>
      </c>
      <c r="AM44" s="16">
        <f t="shared" si="19"/>
        <v>-6.5717709699999904</v>
      </c>
      <c r="AN44" s="16">
        <v>5.4954134699999768</v>
      </c>
      <c r="AO44" s="16">
        <v>16.909800749999999</v>
      </c>
      <c r="AP44" s="16">
        <v>-2.2655056400000113</v>
      </c>
      <c r="AQ44" s="16">
        <v>0.24</v>
      </c>
      <c r="AR44" s="16">
        <f>+AR40+AR42</f>
        <v>14.922603960000028</v>
      </c>
      <c r="AS44" s="16">
        <v>8.3728546700000095</v>
      </c>
      <c r="AT44" s="16">
        <v>-6.5126991500000058</v>
      </c>
      <c r="AU44" s="16">
        <v>16.177142319999984</v>
      </c>
      <c r="AV44" s="16">
        <f>56.2-AV21</f>
        <v>5.5988501251131453</v>
      </c>
      <c r="AW44" s="16">
        <f>58.8290598368098-AW21</f>
        <v>0.51669861000001305</v>
      </c>
      <c r="AX44" s="16">
        <f>61.4700395732283-AX21</f>
        <v>-0.69982761999990117</v>
      </c>
      <c r="AZ44" s="46"/>
    </row>
    <row r="45" spans="1:53" ht="5.25" customHeight="1">
      <c r="A45" s="1">
        <v>16</v>
      </c>
      <c r="E45" s="70"/>
      <c r="G45" s="56">
        <f t="shared" si="12"/>
        <v>16</v>
      </c>
      <c r="S45" s="14"/>
    </row>
    <row r="46" spans="1:53">
      <c r="A46" s="1">
        <v>17</v>
      </c>
      <c r="B46" s="5" t="s">
        <v>166</v>
      </c>
      <c r="C46" s="8">
        <f t="shared" si="13"/>
        <v>-3.8424924985000031</v>
      </c>
      <c r="D46" s="8">
        <f t="shared" si="14"/>
        <v>-0.41289829579994169</v>
      </c>
      <c r="E46" s="47">
        <f t="shared" si="15"/>
        <v>-0.89254415045413227</v>
      </c>
      <c r="G46" s="56">
        <f t="shared" si="12"/>
        <v>17</v>
      </c>
      <c r="H46" s="5" t="s">
        <v>166</v>
      </c>
      <c r="I46" s="17"/>
      <c r="J46" s="17"/>
      <c r="K46" s="17"/>
      <c r="L46" s="17"/>
      <c r="M46" s="17"/>
      <c r="N46" s="17"/>
      <c r="O46" s="17"/>
      <c r="P46" s="17"/>
      <c r="Q46" s="8">
        <f>+Q44*0.51</f>
        <v>3.860335737599998</v>
      </c>
      <c r="R46" s="8">
        <f t="shared" ref="R46:T46" si="20">+R44*0.51</f>
        <v>-0.2096214750000005</v>
      </c>
      <c r="S46" s="8">
        <f t="shared" si="20"/>
        <v>-0.75856034730000055</v>
      </c>
      <c r="T46" s="8">
        <f t="shared" si="20"/>
        <v>0.89423306670000302</v>
      </c>
      <c r="U46" s="8">
        <f>+U44-U47</f>
        <v>4.171250910000003</v>
      </c>
      <c r="V46" s="8">
        <f t="shared" ref="V46:AF46" si="21">+V44-V47</f>
        <v>-12.129309620000004</v>
      </c>
      <c r="W46" s="8">
        <f t="shared" si="21"/>
        <v>0.13145553999999782</v>
      </c>
      <c r="X46" s="8">
        <f t="shared" si="21"/>
        <v>3.2719259700000043</v>
      </c>
      <c r="Y46" s="8">
        <f t="shared" si="21"/>
        <v>-0.71925135000000906</v>
      </c>
      <c r="Z46" s="8">
        <f t="shared" si="21"/>
        <v>-1.6347808199999949</v>
      </c>
      <c r="AA46" s="8">
        <f t="shared" si="21"/>
        <v>-2.9987468100000014</v>
      </c>
      <c r="AB46" s="8">
        <f t="shared" si="21"/>
        <v>9.5019901500000081</v>
      </c>
      <c r="AC46" s="8">
        <f t="shared" si="21"/>
        <v>3.0307739099999909</v>
      </c>
      <c r="AD46" s="8">
        <f t="shared" si="21"/>
        <v>0.11151201000000327</v>
      </c>
      <c r="AE46" s="8">
        <f t="shared" si="21"/>
        <v>-4.5163217200000023</v>
      </c>
      <c r="AF46" s="8">
        <f t="shared" si="21"/>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c r="AP46" s="8">
        <f>+AP44-AP47</f>
        <v>-1.1304824500000112</v>
      </c>
      <c r="AQ46" s="8">
        <v>0</v>
      </c>
      <c r="AR46" s="8">
        <f>+AR44*0.51</f>
        <v>7.6105280196000145</v>
      </c>
      <c r="AS46" s="8">
        <f>+AS44*0.59</f>
        <v>4.9399842553000051</v>
      </c>
      <c r="AT46" s="8">
        <f t="shared" ref="AT46:AX46" si="22">+AT44*0.59</f>
        <v>-3.8424924985000031</v>
      </c>
      <c r="AU46" s="8">
        <f t="shared" si="22"/>
        <v>9.5445139687999898</v>
      </c>
      <c r="AV46" s="8">
        <f t="shared" si="22"/>
        <v>3.3033215738167554</v>
      </c>
      <c r="AW46" s="8">
        <f t="shared" si="22"/>
        <v>0.30485217990000768</v>
      </c>
      <c r="AX46" s="8">
        <f t="shared" si="22"/>
        <v>-0.41289829579994169</v>
      </c>
    </row>
    <row r="47" spans="1:53">
      <c r="A47" s="1">
        <v>18</v>
      </c>
      <c r="B47" s="5" t="s">
        <v>167</v>
      </c>
      <c r="C47" s="8">
        <f t="shared" si="13"/>
        <v>-2.6702066515000022</v>
      </c>
      <c r="D47" s="8">
        <f t="shared" si="14"/>
        <v>-0.28692932419995948</v>
      </c>
      <c r="E47" s="47">
        <f t="shared" si="15"/>
        <v>-0.89254415045413227</v>
      </c>
      <c r="G47" s="56">
        <f t="shared" si="12"/>
        <v>18</v>
      </c>
      <c r="H47" s="5" t="s">
        <v>167</v>
      </c>
      <c r="I47" s="17"/>
      <c r="J47" s="17"/>
      <c r="K47" s="17"/>
      <c r="L47" s="17"/>
      <c r="M47" s="17"/>
      <c r="N47" s="17"/>
      <c r="O47" s="17"/>
      <c r="P47" s="17"/>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c r="AP47" s="8">
        <v>-1.1350231900000001</v>
      </c>
      <c r="AQ47" s="8">
        <v>0</v>
      </c>
      <c r="AR47" s="8">
        <f>+AR44*0.49</f>
        <v>7.312075940400014</v>
      </c>
      <c r="AS47" s="8">
        <f>+AS44*0.41</f>
        <v>3.4328704147000035</v>
      </c>
      <c r="AT47" s="8">
        <f t="shared" ref="AT47:AX47" si="23">+AT44*0.41</f>
        <v>-2.6702066515000022</v>
      </c>
      <c r="AU47" s="8">
        <f t="shared" si="23"/>
        <v>6.6326283511999931</v>
      </c>
      <c r="AV47" s="8">
        <f t="shared" si="23"/>
        <v>2.2955285512963894</v>
      </c>
      <c r="AW47" s="8">
        <f t="shared" si="23"/>
        <v>0.21184643010000534</v>
      </c>
      <c r="AX47" s="8">
        <f t="shared" si="23"/>
        <v>-0.28692932419995948</v>
      </c>
    </row>
    <row r="48" spans="1:53">
      <c r="U48" s="61"/>
      <c r="V48" s="61"/>
      <c r="W48" s="61"/>
      <c r="X48" s="61"/>
      <c r="Y48" s="61"/>
      <c r="Z48" s="61"/>
      <c r="AA48" s="61"/>
      <c r="AB48" s="61"/>
      <c r="AC48" s="61"/>
      <c r="AD48" s="61"/>
      <c r="AE48" s="61"/>
      <c r="AF48" s="61"/>
      <c r="AG48" s="61"/>
      <c r="AH48" s="61"/>
      <c r="AI48" s="61"/>
      <c r="AJ48" s="61"/>
      <c r="AK48" s="61"/>
      <c r="AL48" s="61"/>
      <c r="AM48" s="61"/>
      <c r="AN48" s="61"/>
      <c r="AO48" s="61"/>
    </row>
    <row r="49" spans="2:5" ht="183" customHeight="1">
      <c r="B49" s="139" t="s">
        <v>170</v>
      </c>
      <c r="C49" s="139"/>
      <c r="D49" s="139"/>
      <c r="E49" s="139"/>
    </row>
  </sheetData>
  <mergeCells count="91">
    <mergeCell ref="AS6:AS7"/>
    <mergeCell ref="AS30:AS31"/>
    <mergeCell ref="AR30:AR31"/>
    <mergeCell ref="AQ6:AQ7"/>
    <mergeCell ref="AQ30:AQ31"/>
    <mergeCell ref="AR6:AR7"/>
    <mergeCell ref="AP30:AP31"/>
    <mergeCell ref="C6:C7"/>
    <mergeCell ref="D6:D7"/>
    <mergeCell ref="E6:E7"/>
    <mergeCell ref="I6:I7"/>
    <mergeCell ref="J30:J31"/>
    <mergeCell ref="N30:N31"/>
    <mergeCell ref="K30:K31"/>
    <mergeCell ref="L30:L31"/>
    <mergeCell ref="M30:M31"/>
    <mergeCell ref="J6:J7"/>
    <mergeCell ref="K6:K7"/>
    <mergeCell ref="L6:L7"/>
    <mergeCell ref="M6:M7"/>
    <mergeCell ref="N6:N7"/>
    <mergeCell ref="AN6:AN7"/>
    <mergeCell ref="B49:E49"/>
    <mergeCell ref="I30:I31"/>
    <mergeCell ref="C30:C31"/>
    <mergeCell ref="D30:D31"/>
    <mergeCell ref="E30:E31"/>
    <mergeCell ref="W6:W7"/>
    <mergeCell ref="W30:W31"/>
    <mergeCell ref="X6:X7"/>
    <mergeCell ref="S30:S31"/>
    <mergeCell ref="AI6:AI7"/>
    <mergeCell ref="AB30:AB31"/>
    <mergeCell ref="AB6:AB7"/>
    <mergeCell ref="AC6:AC7"/>
    <mergeCell ref="Y30:Y31"/>
    <mergeCell ref="AA6:AA7"/>
    <mergeCell ref="AA30:AA31"/>
    <mergeCell ref="Z6:Z7"/>
    <mergeCell ref="Y6:Y7"/>
    <mergeCell ref="AG6:AG7"/>
    <mergeCell ref="AG30:AG31"/>
    <mergeCell ref="AE30:AE31"/>
    <mergeCell ref="AK30:AK31"/>
    <mergeCell ref="AM6:AM7"/>
    <mergeCell ref="AM30:AM31"/>
    <mergeCell ref="Z30:Z31"/>
    <mergeCell ref="AD6:AD7"/>
    <mergeCell ref="AD30:AD31"/>
    <mergeCell ref="AF30:AF31"/>
    <mergeCell ref="AF6:AF7"/>
    <mergeCell ref="AE6:AE7"/>
    <mergeCell ref="AC30:AC31"/>
    <mergeCell ref="AP6:AP7"/>
    <mergeCell ref="O30:O31"/>
    <mergeCell ref="P30:P31"/>
    <mergeCell ref="Q30:Q31"/>
    <mergeCell ref="R30:R31"/>
    <mergeCell ref="Q6:Q7"/>
    <mergeCell ref="P6:P7"/>
    <mergeCell ref="O6:O7"/>
    <mergeCell ref="R6:R7"/>
    <mergeCell ref="S6:S7"/>
    <mergeCell ref="AO30:AO31"/>
    <mergeCell ref="V30:V31"/>
    <mergeCell ref="AN30:AN31"/>
    <mergeCell ref="AL6:AL7"/>
    <mergeCell ref="AL30:AL31"/>
    <mergeCell ref="AK6:AK7"/>
    <mergeCell ref="AU6:AU7"/>
    <mergeCell ref="AU30:AU31"/>
    <mergeCell ref="AT6:AT7"/>
    <mergeCell ref="AT30:AT31"/>
    <mergeCell ref="T6:T7"/>
    <mergeCell ref="AI30:AI31"/>
    <mergeCell ref="AH6:AH7"/>
    <mergeCell ref="AH30:AH31"/>
    <mergeCell ref="AJ6:AJ7"/>
    <mergeCell ref="AJ30:AJ31"/>
    <mergeCell ref="X30:X31"/>
    <mergeCell ref="T30:T31"/>
    <mergeCell ref="U6:U7"/>
    <mergeCell ref="U30:U31"/>
    <mergeCell ref="AO6:AO7"/>
    <mergeCell ref="V6:V7"/>
    <mergeCell ref="AX6:AX7"/>
    <mergeCell ref="AX30:AX31"/>
    <mergeCell ref="AW6:AW7"/>
    <mergeCell ref="AW30:AW31"/>
    <mergeCell ref="AV6:AV7"/>
    <mergeCell ref="AV30:AV31"/>
  </mergeCells>
  <phoneticPr fontId="14"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9" tint="0.79998168889431442"/>
  </sheetPr>
  <dimension ref="A4:AN49"/>
  <sheetViews>
    <sheetView topLeftCell="AA1" zoomScale="115" zoomScaleNormal="89" workbookViewId="0">
      <selection activeCell="AL1" sqref="H1:AL1048576"/>
    </sheetView>
  </sheetViews>
  <sheetFormatPr baseColWidth="10" defaultColWidth="11.453125" defaultRowHeight="13.5"/>
  <cols>
    <col min="1" max="1" width="0" style="1" hidden="1" customWidth="1"/>
    <col min="2" max="2" width="51" style="1" customWidth="1"/>
    <col min="3" max="6" width="11.453125" style="1"/>
    <col min="7" max="7" width="11.453125" style="56"/>
    <col min="8" max="8" width="38.54296875" style="1" customWidth="1"/>
    <col min="9" max="37" width="11.453125" style="1" customWidth="1"/>
    <col min="38" max="39" width="11.453125" style="1"/>
    <col min="40" max="40" width="13.81640625" style="1" customWidth="1"/>
    <col min="41" max="16384" width="11.453125" style="1"/>
  </cols>
  <sheetData>
    <row r="4" spans="1:40"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row>
    <row r="5" spans="1:40" ht="7.5" customHeight="1"/>
    <row r="6" spans="1:40" s="131" customFormat="1" ht="15.75" customHeight="1">
      <c r="A6" s="131">
        <v>1</v>
      </c>
      <c r="B6" s="3" t="s">
        <v>186</v>
      </c>
      <c r="C6" s="138" t="s">
        <v>112</v>
      </c>
      <c r="D6" s="138" t="s">
        <v>221</v>
      </c>
      <c r="E6" s="138" t="s">
        <v>75</v>
      </c>
      <c r="G6" s="132">
        <v>1</v>
      </c>
      <c r="H6" s="3" t="s">
        <v>186</v>
      </c>
      <c r="I6" s="138" t="s">
        <v>88</v>
      </c>
      <c r="J6" s="138" t="s">
        <v>89</v>
      </c>
      <c r="K6" s="138" t="s">
        <v>90</v>
      </c>
      <c r="L6" s="138" t="s">
        <v>91</v>
      </c>
      <c r="M6" s="138" t="s">
        <v>92</v>
      </c>
      <c r="N6" s="138" t="s">
        <v>93</v>
      </c>
      <c r="O6" s="138" t="s">
        <v>94</v>
      </c>
      <c r="P6" s="138" t="s">
        <v>95</v>
      </c>
      <c r="Q6" s="138" t="s">
        <v>96</v>
      </c>
      <c r="R6" s="138" t="s">
        <v>97</v>
      </c>
      <c r="S6" s="138" t="s">
        <v>98</v>
      </c>
      <c r="T6" s="138" t="s">
        <v>99</v>
      </c>
      <c r="U6" s="138" t="s">
        <v>100</v>
      </c>
      <c r="V6" s="138" t="s">
        <v>101</v>
      </c>
      <c r="W6" s="138" t="s">
        <v>102</v>
      </c>
      <c r="X6" s="138" t="s">
        <v>103</v>
      </c>
      <c r="Y6" s="138" t="s">
        <v>104</v>
      </c>
      <c r="Z6" s="138" t="s">
        <v>105</v>
      </c>
      <c r="AA6" s="138" t="s">
        <v>106</v>
      </c>
      <c r="AB6" s="138" t="s">
        <v>107</v>
      </c>
      <c r="AC6" s="138" t="s">
        <v>108</v>
      </c>
      <c r="AD6" s="138" t="s">
        <v>109</v>
      </c>
      <c r="AE6" s="138" t="s">
        <v>110</v>
      </c>
      <c r="AF6" s="138" t="s">
        <v>111</v>
      </c>
      <c r="AG6" s="138" t="s">
        <v>73</v>
      </c>
      <c r="AH6" s="138" t="s">
        <v>112</v>
      </c>
      <c r="AI6" s="138" t="s">
        <v>113</v>
      </c>
      <c r="AJ6" s="138" t="s">
        <v>114</v>
      </c>
      <c r="AK6" s="138" t="s">
        <v>74</v>
      </c>
      <c r="AL6" s="138" t="s">
        <v>221</v>
      </c>
    </row>
    <row r="7" spans="1:40" s="131" customFormat="1">
      <c r="A7" s="131">
        <v>2</v>
      </c>
      <c r="B7" s="3" t="s">
        <v>140</v>
      </c>
      <c r="C7" s="138"/>
      <c r="D7" s="138"/>
      <c r="E7" s="138"/>
      <c r="G7" s="132">
        <f>G6+1</f>
        <v>2</v>
      </c>
      <c r="H7" s="3" t="s">
        <v>140</v>
      </c>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row>
    <row r="8" spans="1:40" ht="4.5" customHeight="1">
      <c r="A8" s="1">
        <v>3</v>
      </c>
      <c r="G8" s="56">
        <f t="shared" ref="G8:G18" si="0">G7+1</f>
        <v>3</v>
      </c>
    </row>
    <row r="9" spans="1:40">
      <c r="A9" s="1">
        <v>4</v>
      </c>
      <c r="B9" s="5" t="s">
        <v>187</v>
      </c>
      <c r="C9" s="54">
        <f t="shared" ref="C9:C18" si="1">HLOOKUP($C$6,$H$6:$BM$18,$G9,FALSE)</f>
        <v>1412.1633893192181</v>
      </c>
      <c r="D9" s="54">
        <f t="shared" ref="D9:D18" si="2">HLOOKUP($D$6,$H$6:$BM$18,$G9,FALSE)</f>
        <v>1245.1891900000003</v>
      </c>
      <c r="E9" s="35">
        <f>D9/C9-1</f>
        <v>-0.11824000011763047</v>
      </c>
      <c r="G9" s="56">
        <f t="shared" si="0"/>
        <v>4</v>
      </c>
      <c r="H9" s="5" t="s">
        <v>187</v>
      </c>
      <c r="I9" s="13">
        <v>851.94598514999996</v>
      </c>
      <c r="J9" s="13">
        <v>877.85857165000004</v>
      </c>
      <c r="K9" s="13">
        <v>966.98446622000006</v>
      </c>
      <c r="L9" s="13">
        <v>1036.83880901</v>
      </c>
      <c r="M9" s="13">
        <v>1123.0161427500002</v>
      </c>
      <c r="N9" s="13">
        <v>906.10416333000012</v>
      </c>
      <c r="O9" s="13">
        <v>1018.89567078</v>
      </c>
      <c r="P9" s="13">
        <f>1151.26274554-P28</f>
        <v>1079.4268553100001</v>
      </c>
      <c r="Q9" s="13">
        <f>1215.75743257-Q28</f>
        <v>1149.0228043500001</v>
      </c>
      <c r="R9" s="13">
        <v>962.29794672999992</v>
      </c>
      <c r="S9" s="13">
        <f>1117.13582647-S28</f>
        <v>1056.5571717299999</v>
      </c>
      <c r="T9" s="13">
        <v>1069.0444025100001</v>
      </c>
      <c r="U9" s="13">
        <f>1313.33960533-U28</f>
        <v>1239.53445283</v>
      </c>
      <c r="V9" s="13">
        <f>1157.13281828-V28</f>
        <v>1065.85657085</v>
      </c>
      <c r="W9" s="13">
        <f>1232.11201038-W28</f>
        <v>1153.9265937</v>
      </c>
      <c r="X9" s="13">
        <f>1259.18534985546-X28</f>
        <v>1184.6837488154599</v>
      </c>
      <c r="Y9" s="13">
        <f>1835.53080955605-Y28</f>
        <v>1771.1374382460499</v>
      </c>
      <c r="Z9" s="13">
        <f>1606.13921990478-Z28</f>
        <v>1529.6106433047801</v>
      </c>
      <c r="AA9" s="13">
        <f>2162.29712954196-AA28</f>
        <v>2101.5483796752483</v>
      </c>
      <c r="AB9" s="13">
        <f>1766.43577610322-AB28</f>
        <v>1701.09212012322</v>
      </c>
      <c r="AC9" s="13">
        <v>1531.3300000000002</v>
      </c>
      <c r="AD9" s="13">
        <v>1451.7839426024229</v>
      </c>
      <c r="AE9" s="13">
        <v>1469.3812959336046</v>
      </c>
      <c r="AF9" s="13">
        <f>1688.3-AF28</f>
        <v>1585.2480199534943</v>
      </c>
      <c r="AG9" s="54">
        <f>1602.57686574061-AG28</f>
        <v>1520.9973978014436</v>
      </c>
      <c r="AH9" s="54">
        <f>1487.64968383918-AH28</f>
        <v>1412.1633893192181</v>
      </c>
      <c r="AI9" s="54">
        <f>1653.70245341163-AI28</f>
        <v>1541.5597900816299</v>
      </c>
      <c r="AJ9" s="54">
        <f>1426.23105087525-AJ28</f>
        <v>1334.4235706552499</v>
      </c>
      <c r="AK9" s="54">
        <v>1334.4477199999997</v>
      </c>
      <c r="AL9" s="54">
        <v>1245.1891900000003</v>
      </c>
      <c r="AM9" s="121"/>
      <c r="AN9" s="46"/>
    </row>
    <row r="10" spans="1:40">
      <c r="A10" s="1">
        <v>5</v>
      </c>
      <c r="B10" s="5" t="s">
        <v>188</v>
      </c>
      <c r="C10" s="54">
        <f t="shared" si="1"/>
        <v>4495.3399611761906</v>
      </c>
      <c r="D10" s="54">
        <f t="shared" si="2"/>
        <v>4708.7488700000004</v>
      </c>
      <c r="E10" s="35">
        <f>D10/C10-1</f>
        <v>4.7473363675919256E-2</v>
      </c>
      <c r="G10" s="56">
        <f t="shared" si="0"/>
        <v>5</v>
      </c>
      <c r="H10" s="5" t="s">
        <v>188</v>
      </c>
      <c r="I10" s="13">
        <v>5111.9700011000004</v>
      </c>
      <c r="J10" s="13">
        <v>5118.2419994500015</v>
      </c>
      <c r="K10" s="13">
        <v>5083.0575229899996</v>
      </c>
      <c r="L10" s="13">
        <v>5039.0015552599998</v>
      </c>
      <c r="M10" s="13">
        <v>5033.1846888900009</v>
      </c>
      <c r="N10" s="13">
        <v>5004.2986579099997</v>
      </c>
      <c r="O10" s="13">
        <v>4986.2491683299995</v>
      </c>
      <c r="P10" s="13">
        <f>5627.08594679-P29</f>
        <v>4914.9502672399994</v>
      </c>
      <c r="Q10" s="13">
        <f>5634.71460311-Q29</f>
        <v>4900.3526078900004</v>
      </c>
      <c r="R10" s="13">
        <v>4856.1919675599984</v>
      </c>
      <c r="S10" s="13">
        <f>5662.96485819-S29</f>
        <v>4816.5027538599998</v>
      </c>
      <c r="T10" s="13">
        <v>4715.0582073800015</v>
      </c>
      <c r="U10" s="13">
        <f>5548.1223242-U29</f>
        <v>4691.6083793299995</v>
      </c>
      <c r="V10" s="13">
        <f>5545.52978856-V29</f>
        <v>4703.89630622</v>
      </c>
      <c r="W10" s="13">
        <f>5499.52641136-W29</f>
        <v>4689.1938464699997</v>
      </c>
      <c r="X10" s="13">
        <f>5374.69484166304-X29</f>
        <v>4692.081113313041</v>
      </c>
      <c r="Y10" s="13">
        <f>4858.214-Y29</f>
        <v>4188.5855019600003</v>
      </c>
      <c r="Z10" s="13">
        <f>4861.638-Z29</f>
        <v>4202.1238247000001</v>
      </c>
      <c r="AA10" s="13">
        <f>4981.939-AA29</f>
        <v>4336.9985660196135</v>
      </c>
      <c r="AB10" s="13">
        <f>4836.072-AB29</f>
        <v>4196.7211968600004</v>
      </c>
      <c r="AC10" s="13">
        <v>4108.0199999999995</v>
      </c>
      <c r="AD10" s="13">
        <v>4220.9687017755605</v>
      </c>
      <c r="AE10" s="13">
        <v>4249.2650304162189</v>
      </c>
      <c r="AF10" s="13">
        <f>4869.9-AF29</f>
        <v>4253.4738190958487</v>
      </c>
      <c r="AG10" s="54">
        <f>5013.79241971-AG29</f>
        <v>4399.4549288422841</v>
      </c>
      <c r="AH10" s="54">
        <f>5111.54323107-AH29</f>
        <v>4495.3399611761906</v>
      </c>
      <c r="AI10" s="54">
        <f>5074.41705531-AI29</f>
        <v>4473.6280143700005</v>
      </c>
      <c r="AJ10" s="54">
        <f>5234.46087104-AJ29</f>
        <v>4641.8056893799994</v>
      </c>
      <c r="AK10" s="54">
        <v>4676.452040000001</v>
      </c>
      <c r="AL10" s="54">
        <v>4708.7488700000004</v>
      </c>
      <c r="AM10" s="121"/>
      <c r="AN10" s="46"/>
    </row>
    <row r="11" spans="1:40" ht="5.25" customHeight="1">
      <c r="A11" s="1">
        <v>6</v>
      </c>
      <c r="C11" s="117"/>
      <c r="D11" s="117"/>
      <c r="E11" s="39"/>
      <c r="G11" s="56">
        <f t="shared" si="0"/>
        <v>6</v>
      </c>
      <c r="I11" s="14"/>
      <c r="J11" s="14"/>
      <c r="K11" s="39"/>
      <c r="L11" s="39"/>
      <c r="M11" s="39"/>
      <c r="N11" s="39"/>
      <c r="O11" s="39"/>
      <c r="P11" s="39"/>
      <c r="Q11" s="39"/>
      <c r="R11" s="39"/>
      <c r="S11" s="39"/>
      <c r="T11" s="39"/>
      <c r="U11" s="39"/>
      <c r="V11" s="39"/>
      <c r="W11" s="39"/>
      <c r="X11" s="39"/>
      <c r="Y11" s="39"/>
      <c r="Z11" s="39"/>
      <c r="AA11" s="39"/>
      <c r="AB11" s="39"/>
      <c r="AC11" s="39"/>
      <c r="AD11" s="39"/>
      <c r="AE11" s="39"/>
      <c r="AF11" s="39"/>
      <c r="AG11" s="117"/>
      <c r="AH11" s="117"/>
      <c r="AI11" s="117"/>
      <c r="AJ11" s="117"/>
      <c r="AK11" s="117"/>
      <c r="AL11" s="117"/>
      <c r="AM11" s="121"/>
      <c r="AN11" s="46"/>
    </row>
    <row r="12" spans="1:40">
      <c r="A12" s="1">
        <v>7</v>
      </c>
      <c r="B12" s="108" t="s">
        <v>189</v>
      </c>
      <c r="C12" s="118">
        <f t="shared" si="1"/>
        <v>5907.503350495409</v>
      </c>
      <c r="D12" s="118">
        <f t="shared" si="2"/>
        <v>5953.9380600000004</v>
      </c>
      <c r="E12" s="100">
        <f>D12/C12-1</f>
        <v>7.8602933844629241E-3</v>
      </c>
      <c r="G12" s="56">
        <f t="shared" si="0"/>
        <v>7</v>
      </c>
      <c r="H12" s="108" t="s">
        <v>189</v>
      </c>
      <c r="I12" s="99">
        <f>I10+I9</f>
        <v>5963.9159862500001</v>
      </c>
      <c r="J12" s="99">
        <f>J10+J9</f>
        <v>5996.1005711000016</v>
      </c>
      <c r="K12" s="99">
        <f t="shared" ref="K12:M12" si="3">K10+K9</f>
        <v>6050.0419892099999</v>
      </c>
      <c r="L12" s="99">
        <f t="shared" si="3"/>
        <v>6075.8403642699996</v>
      </c>
      <c r="M12" s="99">
        <f t="shared" si="3"/>
        <v>6156.2008316400006</v>
      </c>
      <c r="N12" s="99">
        <f t="shared" ref="N12:O12" si="4">N10+N9</f>
        <v>5910.4028212399999</v>
      </c>
      <c r="O12" s="99">
        <f t="shared" si="4"/>
        <v>6005.1448391099993</v>
      </c>
      <c r="P12" s="99">
        <f t="shared" ref="P12:AA12" si="5">P10+P9</f>
        <v>5994.3771225499995</v>
      </c>
      <c r="Q12" s="99">
        <f t="shared" si="5"/>
        <v>6049.3754122400005</v>
      </c>
      <c r="R12" s="99">
        <f t="shared" si="5"/>
        <v>5818.4899142899985</v>
      </c>
      <c r="S12" s="99">
        <f t="shared" si="5"/>
        <v>5873.0599255899997</v>
      </c>
      <c r="T12" s="99">
        <f t="shared" si="5"/>
        <v>5784.102609890002</v>
      </c>
      <c r="U12" s="99">
        <f t="shared" si="5"/>
        <v>5931.1428321599997</v>
      </c>
      <c r="V12" s="99">
        <f t="shared" si="5"/>
        <v>5769.7528770700001</v>
      </c>
      <c r="W12" s="99">
        <f t="shared" si="5"/>
        <v>5843.1204401699997</v>
      </c>
      <c r="X12" s="99">
        <f t="shared" si="5"/>
        <v>5876.7648621285007</v>
      </c>
      <c r="Y12" s="99">
        <f t="shared" si="5"/>
        <v>5959.7229402060502</v>
      </c>
      <c r="Z12" s="99">
        <f t="shared" si="5"/>
        <v>5731.73446800478</v>
      </c>
      <c r="AA12" s="99">
        <f t="shared" si="5"/>
        <v>6438.5469456948613</v>
      </c>
      <c r="AB12" s="99">
        <f>AB10+AB9</f>
        <v>5897.8133169832199</v>
      </c>
      <c r="AC12" s="99">
        <f>AC10+AC9</f>
        <v>5639.3499999999995</v>
      </c>
      <c r="AD12" s="99">
        <f>AD10+AD9</f>
        <v>5672.7526443779834</v>
      </c>
      <c r="AE12" s="99">
        <f>AE10+AE9</f>
        <v>5718.6463263498235</v>
      </c>
      <c r="AF12" s="99">
        <f>AF10+AF9</f>
        <v>5838.7218390493435</v>
      </c>
      <c r="AG12" s="118">
        <f>+AG9+AG10</f>
        <v>5920.4523266437282</v>
      </c>
      <c r="AH12" s="118">
        <f>+AH9+AH10</f>
        <v>5907.503350495409</v>
      </c>
      <c r="AI12" s="118">
        <f>+AI9+AI10</f>
        <v>6015.1878044516307</v>
      </c>
      <c r="AJ12" s="118">
        <f>6660.69192191525-AJ31</f>
        <v>5976.2292600352494</v>
      </c>
      <c r="AK12" s="118">
        <f>SUM(AK9:AK10)</f>
        <v>6010.8997600000002</v>
      </c>
      <c r="AL12" s="118">
        <f>SUM(AL9:AL10)</f>
        <v>5953.9380600000004</v>
      </c>
      <c r="AM12" s="121"/>
      <c r="AN12" s="46"/>
    </row>
    <row r="13" spans="1:40" ht="5.25" customHeight="1">
      <c r="A13" s="1">
        <v>8</v>
      </c>
      <c r="C13" s="88"/>
      <c r="D13" s="88"/>
      <c r="G13" s="56">
        <f t="shared" si="0"/>
        <v>8</v>
      </c>
      <c r="AG13" s="88"/>
      <c r="AH13" s="88"/>
      <c r="AI13" s="88"/>
      <c r="AJ13" s="88"/>
      <c r="AK13" s="88"/>
      <c r="AL13" s="88"/>
      <c r="AM13" s="121"/>
      <c r="AN13" s="46"/>
    </row>
    <row r="14" spans="1:40">
      <c r="A14" s="1">
        <v>9</v>
      </c>
      <c r="B14" s="5" t="s">
        <v>190</v>
      </c>
      <c r="C14" s="54">
        <f t="shared" si="1"/>
        <v>297.17490132707997</v>
      </c>
      <c r="D14" s="54">
        <f t="shared" si="2"/>
        <v>244.61656753999998</v>
      </c>
      <c r="E14" s="35">
        <f>D14/C14-1</f>
        <v>-0.1768599351842054</v>
      </c>
      <c r="G14" s="56">
        <f t="shared" si="0"/>
        <v>9</v>
      </c>
      <c r="H14" s="5" t="s">
        <v>190</v>
      </c>
      <c r="I14" s="13">
        <v>332.06293499999998</v>
      </c>
      <c r="J14" s="13">
        <v>257.57242348</v>
      </c>
      <c r="K14" s="13">
        <v>251.18324160999998</v>
      </c>
      <c r="L14" s="13">
        <v>321.59412931000003</v>
      </c>
      <c r="M14" s="13">
        <v>311.40434149000004</v>
      </c>
      <c r="N14" s="13">
        <v>240.91993596999998</v>
      </c>
      <c r="O14" s="13">
        <v>238.14455495999999</v>
      </c>
      <c r="P14" s="13">
        <f>345.36432029-P33</f>
        <v>301.90262543</v>
      </c>
      <c r="Q14" s="13">
        <f>324.73546798-Q33</f>
        <v>278.59070792</v>
      </c>
      <c r="R14" s="13">
        <v>217.377272</v>
      </c>
      <c r="S14" s="13">
        <f>286.59953942-S33</f>
        <v>226.65396185999998</v>
      </c>
      <c r="T14" s="13">
        <v>267.9885452499999</v>
      </c>
      <c r="U14" s="13">
        <f>344.78575294-U33</f>
        <v>245.24322167000003</v>
      </c>
      <c r="V14" s="13">
        <f>300.0780978-V33</f>
        <v>187.28015278000004</v>
      </c>
      <c r="W14" s="13">
        <f>285.30081097-W33</f>
        <v>193.42503362999997</v>
      </c>
      <c r="X14" s="13">
        <f>306.542637480564-X33</f>
        <v>215.40118083056399</v>
      </c>
      <c r="Y14" s="13">
        <f>429.657122-Y33</f>
        <v>341.73667789000001</v>
      </c>
      <c r="Z14" s="13">
        <f>427.219-Z33</f>
        <v>331.30202495999998</v>
      </c>
      <c r="AA14" s="13">
        <f>571.603-AA33</f>
        <v>479.19844292999994</v>
      </c>
      <c r="AB14" s="13">
        <f>679.004-AB33</f>
        <v>592.82991433000007</v>
      </c>
      <c r="AC14" s="13">
        <v>297.52000000000004</v>
      </c>
      <c r="AD14" s="13">
        <v>336.20000000000005</v>
      </c>
      <c r="AE14" s="13">
        <v>297.09446570711003</v>
      </c>
      <c r="AF14" s="13">
        <f>542.58576605511-AF33</f>
        <v>429.58461463510997</v>
      </c>
      <c r="AG14" s="54">
        <f>462.20512787402-AG33</f>
        <v>367.09936456401999</v>
      </c>
      <c r="AH14" s="54">
        <f>396.62735860708-AH33</f>
        <v>297.17490132707997</v>
      </c>
      <c r="AI14" s="54">
        <f>415.76991396552-AI33</f>
        <v>297.09131362552</v>
      </c>
      <c r="AJ14" s="54">
        <f>470.80527333096-AJ33</f>
        <v>384.12393090095998</v>
      </c>
      <c r="AK14" s="54">
        <v>367.38</v>
      </c>
      <c r="AL14" s="54">
        <f>330.717-AL33</f>
        <v>244.61656753999998</v>
      </c>
      <c r="AM14" s="121"/>
      <c r="AN14" s="46"/>
    </row>
    <row r="15" spans="1:40">
      <c r="A15" s="1">
        <v>10</v>
      </c>
      <c r="B15" s="5" t="s">
        <v>191</v>
      </c>
      <c r="C15" s="54">
        <f t="shared" si="1"/>
        <v>2780.1934199341899</v>
      </c>
      <c r="D15" s="54">
        <f t="shared" si="2"/>
        <v>2792.09</v>
      </c>
      <c r="E15" s="35">
        <f>D15/C15-1</f>
        <v>4.2790476304672698E-3</v>
      </c>
      <c r="G15" s="56">
        <f t="shared" si="0"/>
        <v>10</v>
      </c>
      <c r="H15" s="5" t="s">
        <v>191</v>
      </c>
      <c r="I15" s="13">
        <v>2298.0290426399997</v>
      </c>
      <c r="J15" s="13">
        <v>2289.0193435900001</v>
      </c>
      <c r="K15" s="13">
        <v>2303.73616958</v>
      </c>
      <c r="L15" s="13">
        <v>2262.9810454100002</v>
      </c>
      <c r="M15" s="13">
        <v>2276.3748615799996</v>
      </c>
      <c r="N15" s="13">
        <v>2240.46498006</v>
      </c>
      <c r="O15" s="13">
        <v>2281.9964221199998</v>
      </c>
      <c r="P15" s="13">
        <f>2576.04691683-P34</f>
        <v>2242.7578190900003</v>
      </c>
      <c r="Q15" s="13">
        <f>2601.2611478-Q34</f>
        <v>2257.6920767399997</v>
      </c>
      <c r="R15" s="13">
        <v>2247.1130673900002</v>
      </c>
      <c r="S15" s="13">
        <f>2674.75084135-S34</f>
        <v>2230.2975092900001</v>
      </c>
      <c r="T15" s="13">
        <v>2185.7482230700002</v>
      </c>
      <c r="U15" s="13">
        <f>2749.60490735-U34</f>
        <v>2317.5012676799997</v>
      </c>
      <c r="V15" s="13">
        <f>2740.20253576-V34</f>
        <v>2309.7141655300002</v>
      </c>
      <c r="W15" s="13">
        <f>2720.09146833-W34</f>
        <v>2308.2274280400002</v>
      </c>
      <c r="X15" s="13">
        <f>2741.98145781361-X34</f>
        <v>2331.50730189361</v>
      </c>
      <c r="Y15" s="13">
        <f>2717.96-Y34</f>
        <v>2322.7600000000002</v>
      </c>
      <c r="Z15" s="13">
        <f>2705.976-Z34</f>
        <v>2312.3760000000002</v>
      </c>
      <c r="AA15" s="13">
        <f>2649.348-AA34</f>
        <v>2275.9437433200001</v>
      </c>
      <c r="AB15" s="13">
        <f>3082.078-AB34</f>
        <v>2708.91780522</v>
      </c>
      <c r="AC15" s="13">
        <v>2726.27</v>
      </c>
      <c r="AD15" s="13">
        <v>2724.7799999999997</v>
      </c>
      <c r="AE15" s="13">
        <v>2735.2070388400002</v>
      </c>
      <c r="AF15" s="13">
        <f>3110.5115982571-AF34</f>
        <v>2779.2079943071003</v>
      </c>
      <c r="AG15" s="54">
        <f>3098.53024229-AG34</f>
        <v>2781.4902345400001</v>
      </c>
      <c r="AH15" s="54">
        <f>3095.15550304419-AH34</f>
        <v>2780.1934199341899</v>
      </c>
      <c r="AI15" s="54">
        <f>3079.06228918954-AI34</f>
        <v>2778.2397278195399</v>
      </c>
      <c r="AJ15" s="54">
        <f>3092.60975351764-AJ34</f>
        <v>2793.8976854276398</v>
      </c>
      <c r="AK15" s="54">
        <v>2790.25</v>
      </c>
      <c r="AL15" s="54">
        <v>2792.09</v>
      </c>
      <c r="AM15" s="121"/>
      <c r="AN15" s="46"/>
    </row>
    <row r="16" spans="1:40">
      <c r="A16" s="1">
        <v>11</v>
      </c>
      <c r="B16" s="5" t="s">
        <v>192</v>
      </c>
      <c r="C16" s="54">
        <f t="shared" si="1"/>
        <v>2830.1322571680316</v>
      </c>
      <c r="D16" s="119">
        <f t="shared" si="2"/>
        <v>2793.35203374</v>
      </c>
      <c r="E16" s="35">
        <f t="shared" ref="E16" si="6">D16/C16-1</f>
        <v>-1.2995938029000675E-2</v>
      </c>
      <c r="G16" s="56">
        <f t="shared" si="0"/>
        <v>11</v>
      </c>
      <c r="H16" s="5" t="s">
        <v>192</v>
      </c>
      <c r="I16" s="13">
        <v>3333.1386763600008</v>
      </c>
      <c r="J16" s="13">
        <v>3449.5088040299997</v>
      </c>
      <c r="K16" s="13">
        <v>3495.1225780199998</v>
      </c>
      <c r="L16" s="13">
        <v>3491.2651895500003</v>
      </c>
      <c r="M16" s="13">
        <v>3568.4216285699999</v>
      </c>
      <c r="N16" s="13">
        <v>3429.0179052100002</v>
      </c>
      <c r="O16" s="13">
        <v>3485.0038620300002</v>
      </c>
      <c r="P16" s="13">
        <f>3856.93745521-P35</f>
        <v>3449.7166780299999</v>
      </c>
      <c r="Q16" s="13">
        <f>3924.4754199-Q35</f>
        <v>3513.0926275799998</v>
      </c>
      <c r="R16" s="13">
        <v>3354.0092946500004</v>
      </c>
      <c r="S16" s="13">
        <f>3818.75030389-S35</f>
        <v>3416.1084544400001</v>
      </c>
      <c r="T16" s="13">
        <v>3330.39901263</v>
      </c>
      <c r="U16" s="13">
        <f>3767.1044403-U35</f>
        <v>3368.4315138699999</v>
      </c>
      <c r="V16" s="13">
        <f>3662.38197328-V35</f>
        <v>3272.7585587599997</v>
      </c>
      <c r="W16" s="13">
        <f>3726.24614244-W35</f>
        <v>3341.4679784999998</v>
      </c>
      <c r="X16" s="13">
        <f>3585.36746942-X35</f>
        <v>3329.8676748499997</v>
      </c>
      <c r="Y16" s="13">
        <f>3546.10960949-Y35</f>
        <v>3295.19686215</v>
      </c>
      <c r="Z16" s="13">
        <f>3334.495-Z35</f>
        <v>3088.0364921699997</v>
      </c>
      <c r="AA16" s="13">
        <f>3923.286-AA35</f>
        <v>3683.4401203254592</v>
      </c>
      <c r="AB16" s="13">
        <f>2841.426-AB35</f>
        <v>2596.0407430499999</v>
      </c>
      <c r="AC16" s="90">
        <v>2615.6499999999996</v>
      </c>
      <c r="AD16" s="90">
        <v>2611.7799999999997</v>
      </c>
      <c r="AE16" s="90">
        <v>2686.3448447800001</v>
      </c>
      <c r="AF16" s="90">
        <f>2952.87638449-AF35</f>
        <v>2677.7029788199998</v>
      </c>
      <c r="AG16" s="120">
        <f>3055.63422723-AG35</f>
        <v>2771.8630394812817</v>
      </c>
      <c r="AH16" s="120">
        <f>3107.4072812-AH35</f>
        <v>2830.1322571680316</v>
      </c>
      <c r="AI16" s="120">
        <f>3233.28783324-AI35</f>
        <v>2939.85729068</v>
      </c>
      <c r="AJ16" s="120">
        <f>3097.27692122-AJ35</f>
        <v>2798.2076698600004</v>
      </c>
      <c r="AK16" s="120">
        <f>3152.9-AK35</f>
        <v>2853.3147218600002</v>
      </c>
      <c r="AL16" s="120">
        <f>3092.223-AL35</f>
        <v>2793.35203374</v>
      </c>
      <c r="AM16" s="121"/>
      <c r="AN16" s="46"/>
    </row>
    <row r="17" spans="1:40" ht="4.5" customHeight="1">
      <c r="A17" s="1">
        <v>12</v>
      </c>
      <c r="C17" s="88"/>
      <c r="D17" s="88"/>
      <c r="E17" s="38"/>
      <c r="G17" s="56">
        <f t="shared" si="0"/>
        <v>12</v>
      </c>
      <c r="AG17" s="88"/>
      <c r="AH17" s="88"/>
      <c r="AI17" s="88"/>
      <c r="AJ17" s="88"/>
      <c r="AK17" s="88"/>
      <c r="AL17" s="88"/>
      <c r="AM17" s="121"/>
      <c r="AN17" s="46"/>
    </row>
    <row r="18" spans="1:40">
      <c r="A18" s="1">
        <v>13</v>
      </c>
      <c r="B18" s="108" t="s">
        <v>193</v>
      </c>
      <c r="C18" s="118">
        <f t="shared" si="1"/>
        <v>5907.5005784293016</v>
      </c>
      <c r="D18" s="118">
        <f t="shared" si="2"/>
        <v>5830.0586012799995</v>
      </c>
      <c r="E18" s="100">
        <f>D18/C18-1</f>
        <v>-1.3109093451818654E-2</v>
      </c>
      <c r="G18" s="56">
        <f t="shared" si="0"/>
        <v>13</v>
      </c>
      <c r="H18" s="108" t="s">
        <v>193</v>
      </c>
      <c r="I18" s="99">
        <f>SUM(I14:I16)</f>
        <v>5963.2306540000009</v>
      </c>
      <c r="J18" s="99">
        <f t="shared" ref="J18" si="7">SUM(J14:J16)</f>
        <v>5996.1005710999998</v>
      </c>
      <c r="K18" s="99">
        <f>SUM(K14:K16)</f>
        <v>6050.0419892099999</v>
      </c>
      <c r="L18" s="99">
        <f t="shared" ref="L18:N18" si="8">SUM(L14:L16)</f>
        <v>6075.8403642700005</v>
      </c>
      <c r="M18" s="99">
        <f t="shared" si="8"/>
        <v>6156.2008316399997</v>
      </c>
      <c r="N18" s="99">
        <f t="shared" si="8"/>
        <v>5910.4028212400008</v>
      </c>
      <c r="O18" s="99">
        <f t="shared" ref="O18:R18" si="9">SUM(O14:O16)</f>
        <v>6005.1448391100002</v>
      </c>
      <c r="P18" s="99">
        <f t="shared" si="9"/>
        <v>5994.3771225500004</v>
      </c>
      <c r="Q18" s="99">
        <f t="shared" si="9"/>
        <v>6049.3754122399996</v>
      </c>
      <c r="R18" s="99">
        <f t="shared" si="9"/>
        <v>5818.4996340400012</v>
      </c>
      <c r="S18" s="99">
        <f t="shared" ref="S18:Y18" si="10">SUM(S14:S16)</f>
        <v>5873.0599255899997</v>
      </c>
      <c r="T18" s="99">
        <f t="shared" si="10"/>
        <v>5784.1357809500005</v>
      </c>
      <c r="U18" s="99">
        <f t="shared" si="10"/>
        <v>5931.17600322</v>
      </c>
      <c r="V18" s="99">
        <f t="shared" si="10"/>
        <v>5769.7528770700001</v>
      </c>
      <c r="W18" s="99">
        <f t="shared" si="10"/>
        <v>5843.1204401699997</v>
      </c>
      <c r="X18" s="99">
        <f t="shared" si="10"/>
        <v>5876.7761575741733</v>
      </c>
      <c r="Y18" s="99">
        <f t="shared" si="10"/>
        <v>5959.6935400399998</v>
      </c>
      <c r="Z18" s="99">
        <f>SUM(Z14:Z16)</f>
        <v>5731.7145171299999</v>
      </c>
      <c r="AA18" s="99">
        <f>SUM(AA14:AA16)</f>
        <v>6438.5823065754594</v>
      </c>
      <c r="AB18" s="99">
        <f>SUM(AB14:AB16)</f>
        <v>5897.7884625999995</v>
      </c>
      <c r="AC18" s="99">
        <f>SUM(AC14:AC16)</f>
        <v>5639.44</v>
      </c>
      <c r="AD18" s="99">
        <f>SUM(AD14:AD16)</f>
        <v>5672.7599999999993</v>
      </c>
      <c r="AE18" s="99">
        <f>+AE14+AE15+AE16</f>
        <v>5718.6463493271103</v>
      </c>
      <c r="AF18" s="99">
        <f>+AF14+AF15+AF16</f>
        <v>5886.4955877622106</v>
      </c>
      <c r="AG18" s="118">
        <f>+AG14+AG15+AG16</f>
        <v>5920.4526385853023</v>
      </c>
      <c r="AH18" s="118">
        <f>+SUM(AH14:AH16)</f>
        <v>5907.5005784293016</v>
      </c>
      <c r="AI18" s="118">
        <f>SUM(AI14:AI16)</f>
        <v>6015.1883321250598</v>
      </c>
      <c r="AJ18" s="118">
        <f>6660.6919480686-AJ37</f>
        <v>5976.2292861885999</v>
      </c>
      <c r="AK18" s="118">
        <f>SUM(AK14:AK16)</f>
        <v>6010.9447218599998</v>
      </c>
      <c r="AL18" s="118">
        <f>SUM(AL14:AL16)</f>
        <v>5830.0586012799995</v>
      </c>
      <c r="AM18" s="121"/>
      <c r="AN18" s="46"/>
    </row>
    <row r="23" spans="1:40" ht="23.5">
      <c r="B23" s="11" t="s">
        <v>37</v>
      </c>
      <c r="C23" s="12"/>
      <c r="D23" s="12"/>
      <c r="E23" s="12"/>
      <c r="H23" s="11" t="s">
        <v>37</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row>
    <row r="24" spans="1:40" ht="7.5" customHeight="1"/>
    <row r="25" spans="1:40" s="131" customFormat="1">
      <c r="A25" s="131">
        <v>1</v>
      </c>
      <c r="B25" s="3" t="s">
        <v>186</v>
      </c>
      <c r="C25" s="138" t="str">
        <f>C6</f>
        <v>2Q23</v>
      </c>
      <c r="D25" s="138" t="str">
        <f>D6</f>
        <v>2Q24</v>
      </c>
      <c r="E25" s="138" t="s">
        <v>75</v>
      </c>
      <c r="G25" s="132">
        <v>1</v>
      </c>
      <c r="H25" s="3" t="s">
        <v>186</v>
      </c>
      <c r="I25" s="138" t="s">
        <v>88</v>
      </c>
      <c r="J25" s="138" t="s">
        <v>89</v>
      </c>
      <c r="K25" s="138" t="s">
        <v>90</v>
      </c>
      <c r="L25" s="138" t="s">
        <v>91</v>
      </c>
      <c r="M25" s="138" t="s">
        <v>92</v>
      </c>
      <c r="N25" s="138" t="s">
        <v>93</v>
      </c>
      <c r="O25" s="138" t="s">
        <v>94</v>
      </c>
      <c r="P25" s="138" t="s">
        <v>95</v>
      </c>
      <c r="Q25" s="138" t="s">
        <v>96</v>
      </c>
      <c r="R25" s="138" t="s">
        <v>97</v>
      </c>
      <c r="S25" s="138" t="s">
        <v>98</v>
      </c>
      <c r="T25" s="138" t="s">
        <v>99</v>
      </c>
      <c r="U25" s="138" t="s">
        <v>100</v>
      </c>
      <c r="V25" s="138" t="s">
        <v>101</v>
      </c>
      <c r="W25" s="138" t="s">
        <v>102</v>
      </c>
      <c r="X25" s="138" t="s">
        <v>103</v>
      </c>
      <c r="Y25" s="138" t="s">
        <v>104</v>
      </c>
      <c r="Z25" s="138" t="s">
        <v>105</v>
      </c>
      <c r="AA25" s="138" t="s">
        <v>106</v>
      </c>
      <c r="AB25" s="138" t="s">
        <v>107</v>
      </c>
      <c r="AC25" s="138" t="s">
        <v>108</v>
      </c>
      <c r="AD25" s="138" t="s">
        <v>109</v>
      </c>
      <c r="AE25" s="138" t="s">
        <v>110</v>
      </c>
      <c r="AF25" s="138" t="s">
        <v>111</v>
      </c>
      <c r="AG25" s="138" t="s">
        <v>73</v>
      </c>
      <c r="AH25" s="138" t="s">
        <v>112</v>
      </c>
      <c r="AI25" s="138" t="s">
        <v>113</v>
      </c>
      <c r="AJ25" s="138" t="s">
        <v>114</v>
      </c>
      <c r="AK25" s="138" t="s">
        <v>74</v>
      </c>
      <c r="AL25" s="138" t="s">
        <v>221</v>
      </c>
    </row>
    <row r="26" spans="1:40" s="131" customFormat="1">
      <c r="A26" s="131">
        <v>2</v>
      </c>
      <c r="B26" s="3" t="s">
        <v>140</v>
      </c>
      <c r="C26" s="138"/>
      <c r="D26" s="138"/>
      <c r="E26" s="138"/>
      <c r="G26" s="132">
        <f>G25+1</f>
        <v>2</v>
      </c>
      <c r="H26" s="3" t="s">
        <v>140</v>
      </c>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row>
    <row r="27" spans="1:40" ht="4.5" customHeight="1">
      <c r="A27" s="1">
        <v>3</v>
      </c>
      <c r="G27" s="56">
        <f t="shared" ref="G27:G37" si="11">G26+1</f>
        <v>3</v>
      </c>
    </row>
    <row r="28" spans="1:40">
      <c r="A28" s="1">
        <v>4</v>
      </c>
      <c r="B28" s="5" t="s">
        <v>187</v>
      </c>
      <c r="C28" s="13">
        <f t="shared" ref="C28:C37" si="12">HLOOKUP($C$25,$H$25:$BG$37,$G28,FALSE)</f>
        <v>75.486294519961703</v>
      </c>
      <c r="D28" s="13">
        <f t="shared" ref="D28:D37" si="13">HLOOKUP($D$25,$H$25:$BG$37,$G28,FALSE)</f>
        <v>103.00071677000001</v>
      </c>
      <c r="E28" s="35">
        <f>D28/C28-1</f>
        <v>0.36449560049291274</v>
      </c>
      <c r="G28" s="56">
        <f t="shared" si="11"/>
        <v>4</v>
      </c>
      <c r="H28" s="5" t="s">
        <v>187</v>
      </c>
      <c r="I28" s="13">
        <v>99.084344999999999</v>
      </c>
      <c r="J28" s="13">
        <v>101.61696936</v>
      </c>
      <c r="K28" s="13">
        <v>103.71705962999999</v>
      </c>
      <c r="L28" s="13">
        <v>110.32355256999999</v>
      </c>
      <c r="M28" s="13">
        <v>97.451427910000007</v>
      </c>
      <c r="N28" s="13">
        <v>104.49759676000001</v>
      </c>
      <c r="O28" s="13">
        <v>97.678491099999988</v>
      </c>
      <c r="P28" s="13">
        <v>71.835890230000004</v>
      </c>
      <c r="Q28" s="13">
        <v>66.734628219999991</v>
      </c>
      <c r="R28" s="13">
        <v>67.594024689999998</v>
      </c>
      <c r="S28" s="13">
        <v>60.578654739999998</v>
      </c>
      <c r="T28" s="13">
        <v>70.365920110000005</v>
      </c>
      <c r="U28" s="13">
        <v>73.805152500000005</v>
      </c>
      <c r="V28" s="13">
        <v>91.276247429999998</v>
      </c>
      <c r="W28" s="13">
        <v>78.185416680000003</v>
      </c>
      <c r="X28" s="13">
        <v>74.501601039999997</v>
      </c>
      <c r="Y28" s="13">
        <v>64.393371309999992</v>
      </c>
      <c r="Z28" s="13">
        <v>76.528576600000008</v>
      </c>
      <c r="AA28" s="13">
        <v>60.748749866711798</v>
      </c>
      <c r="AB28" s="13">
        <v>65.343655979999994</v>
      </c>
      <c r="AC28" s="13">
        <v>65.586164040637385</v>
      </c>
      <c r="AD28" s="13">
        <v>77.477328758716951</v>
      </c>
      <c r="AE28" s="13">
        <v>66.642265366065686</v>
      </c>
      <c r="AF28" s="13">
        <v>103.05198004650559</v>
      </c>
      <c r="AG28" s="13">
        <v>81.579467939166221</v>
      </c>
      <c r="AH28" s="13">
        <v>75.486294519961703</v>
      </c>
      <c r="AI28" s="13">
        <v>112.14266333</v>
      </c>
      <c r="AJ28" s="13">
        <v>91.807480220000002</v>
      </c>
      <c r="AK28" s="13">
        <v>87.578628250000008</v>
      </c>
      <c r="AL28" s="13">
        <v>103.00071677000001</v>
      </c>
    </row>
    <row r="29" spans="1:40">
      <c r="A29" s="1">
        <v>5</v>
      </c>
      <c r="B29" s="5" t="s">
        <v>188</v>
      </c>
      <c r="C29" s="13">
        <f t="shared" si="12"/>
        <v>616.20326989380942</v>
      </c>
      <c r="D29" s="13">
        <f t="shared" si="13"/>
        <v>568.24146069000005</v>
      </c>
      <c r="E29" s="35">
        <f>D29/C29-1</f>
        <v>-7.7834395802662049E-2</v>
      </c>
      <c r="G29" s="56">
        <f t="shared" si="11"/>
        <v>5</v>
      </c>
      <c r="H29" s="5" t="s">
        <v>188</v>
      </c>
      <c r="I29" s="13">
        <v>734.85100731999989</v>
      </c>
      <c r="J29" s="13">
        <v>728.05867406999994</v>
      </c>
      <c r="K29" s="13">
        <v>743.07765096000014</v>
      </c>
      <c r="L29" s="13">
        <v>736.37788302000001</v>
      </c>
      <c r="M29" s="13">
        <v>732.46127262999994</v>
      </c>
      <c r="N29" s="13">
        <v>723.52039917000002</v>
      </c>
      <c r="O29" s="13">
        <v>716.73618529000032</v>
      </c>
      <c r="P29" s="13">
        <v>712.13567955000008</v>
      </c>
      <c r="Q29" s="13">
        <v>734.36199522000004</v>
      </c>
      <c r="R29" s="13">
        <v>861.97988807999991</v>
      </c>
      <c r="S29" s="13">
        <v>846.46210432999999</v>
      </c>
      <c r="T29" s="13">
        <v>850.84815062999985</v>
      </c>
      <c r="U29" s="13">
        <v>856.51394486999993</v>
      </c>
      <c r="V29" s="13">
        <v>841.63348233999989</v>
      </c>
      <c r="W29" s="13">
        <v>810.33256488999984</v>
      </c>
      <c r="X29" s="13">
        <v>682.61372834999975</v>
      </c>
      <c r="Y29" s="13">
        <v>669.62849803999984</v>
      </c>
      <c r="Z29" s="13">
        <v>659.51417529999992</v>
      </c>
      <c r="AA29" s="13">
        <v>644.9404339803865</v>
      </c>
      <c r="AB29" s="13">
        <v>639.35080313999947</v>
      </c>
      <c r="AC29" s="13">
        <v>644.24248148931088</v>
      </c>
      <c r="AD29" s="13">
        <v>634.60129822443957</v>
      </c>
      <c r="AE29" s="13">
        <v>620.65396958378119</v>
      </c>
      <c r="AF29" s="13">
        <v>616.42618090415044</v>
      </c>
      <c r="AG29" s="13">
        <v>614.33749086771593</v>
      </c>
      <c r="AH29" s="13">
        <v>616.20326989380942</v>
      </c>
      <c r="AI29" s="13">
        <v>600.78904094000018</v>
      </c>
      <c r="AJ29" s="13">
        <v>592.65518166000015</v>
      </c>
      <c r="AK29" s="13">
        <v>581.83342091000031</v>
      </c>
      <c r="AL29" s="13">
        <v>568.24146069000005</v>
      </c>
    </row>
    <row r="30" spans="1:40" ht="4.5" customHeight="1">
      <c r="A30" s="1">
        <v>6</v>
      </c>
      <c r="E30" s="38"/>
      <c r="G30" s="56">
        <f t="shared" si="11"/>
        <v>6</v>
      </c>
    </row>
    <row r="31" spans="1:40">
      <c r="A31" s="1">
        <v>7</v>
      </c>
      <c r="B31" s="108" t="s">
        <v>189</v>
      </c>
      <c r="C31" s="99">
        <f t="shared" si="12"/>
        <v>691.68956441377111</v>
      </c>
      <c r="D31" s="99">
        <f t="shared" si="13"/>
        <v>671.24217746000011</v>
      </c>
      <c r="E31" s="100">
        <f>D31/C31-1</f>
        <v>-2.9561508523120228E-2</v>
      </c>
      <c r="G31" s="56">
        <f t="shared" si="11"/>
        <v>7</v>
      </c>
      <c r="H31" s="108" t="s">
        <v>189</v>
      </c>
      <c r="I31" s="99">
        <f>I29+I28</f>
        <v>833.93535231999988</v>
      </c>
      <c r="J31" s="99">
        <f t="shared" ref="J31:K31" si="14">J29+J28</f>
        <v>829.67564342999992</v>
      </c>
      <c r="K31" s="99">
        <f t="shared" si="14"/>
        <v>846.79471059000014</v>
      </c>
      <c r="L31" s="99">
        <f t="shared" ref="L31:N31" si="15">L29+L28</f>
        <v>846.70143558999996</v>
      </c>
      <c r="M31" s="99">
        <f t="shared" si="15"/>
        <v>829.91270053999995</v>
      </c>
      <c r="N31" s="99">
        <f t="shared" si="15"/>
        <v>828.01799592999998</v>
      </c>
      <c r="O31" s="99">
        <f t="shared" ref="O31" si="16">O29+O28</f>
        <v>814.4146763900003</v>
      </c>
      <c r="P31" s="99">
        <f t="shared" ref="P31:AA31" si="17">+P28+P29</f>
        <v>783.9715697800001</v>
      </c>
      <c r="Q31" s="99">
        <f t="shared" si="17"/>
        <v>801.09662344000003</v>
      </c>
      <c r="R31" s="99">
        <f t="shared" si="17"/>
        <v>929.57391276999988</v>
      </c>
      <c r="S31" s="99">
        <f t="shared" si="17"/>
        <v>907.04075907000004</v>
      </c>
      <c r="T31" s="99">
        <f t="shared" si="17"/>
        <v>921.2140707399999</v>
      </c>
      <c r="U31" s="99">
        <f t="shared" si="17"/>
        <v>930.31909736999989</v>
      </c>
      <c r="V31" s="99">
        <f t="shared" si="17"/>
        <v>932.9097297699999</v>
      </c>
      <c r="W31" s="99">
        <f t="shared" si="17"/>
        <v>888.51798156999985</v>
      </c>
      <c r="X31" s="99">
        <f t="shared" si="17"/>
        <v>757.11532938999972</v>
      </c>
      <c r="Y31" s="99">
        <f t="shared" si="17"/>
        <v>734.02186934999986</v>
      </c>
      <c r="Z31" s="99">
        <f t="shared" si="17"/>
        <v>736.04275189999998</v>
      </c>
      <c r="AA31" s="99">
        <f t="shared" si="17"/>
        <v>705.68918384709832</v>
      </c>
      <c r="AB31" s="99">
        <f t="shared" ref="AB31:AH31" si="18">+AB28+AB29</f>
        <v>704.69445911999946</v>
      </c>
      <c r="AC31" s="99">
        <f t="shared" si="18"/>
        <v>709.82864552994829</v>
      </c>
      <c r="AD31" s="99">
        <f t="shared" si="18"/>
        <v>712.07862698315648</v>
      </c>
      <c r="AE31" s="99">
        <f t="shared" si="18"/>
        <v>687.29623494984685</v>
      </c>
      <c r="AF31" s="99">
        <f t="shared" si="18"/>
        <v>719.47816095065605</v>
      </c>
      <c r="AG31" s="99">
        <f t="shared" si="18"/>
        <v>695.91695880688212</v>
      </c>
      <c r="AH31" s="99">
        <f t="shared" si="18"/>
        <v>691.68956441377111</v>
      </c>
      <c r="AI31" s="99">
        <v>712.93170427000018</v>
      </c>
      <c r="AJ31" s="99">
        <f>SUM(AJ28:AJ29)</f>
        <v>684.46266188000016</v>
      </c>
      <c r="AK31" s="99">
        <f>SUM(AK28:AK29)</f>
        <v>669.41204916000038</v>
      </c>
      <c r="AL31" s="99">
        <f>SUM(AL28:AL29)</f>
        <v>671.24217746000011</v>
      </c>
    </row>
    <row r="32" spans="1:40" ht="4.5" customHeight="1">
      <c r="A32" s="1">
        <v>8</v>
      </c>
      <c r="E32" s="38"/>
      <c r="G32" s="56">
        <f t="shared" si="11"/>
        <v>8</v>
      </c>
    </row>
    <row r="33" spans="1:38">
      <c r="A33" s="1">
        <v>9</v>
      </c>
      <c r="B33" s="5" t="s">
        <v>190</v>
      </c>
      <c r="C33" s="13">
        <f t="shared" si="12"/>
        <v>99.452457280000004</v>
      </c>
      <c r="D33" s="13">
        <f t="shared" si="13"/>
        <v>86.100432460000007</v>
      </c>
      <c r="E33" s="35">
        <f>D33/C33-1</f>
        <v>-0.1342553536149288</v>
      </c>
      <c r="G33" s="56">
        <f t="shared" si="11"/>
        <v>9</v>
      </c>
      <c r="H33" s="5" t="s">
        <v>190</v>
      </c>
      <c r="I33" s="13">
        <v>22.336485010000001</v>
      </c>
      <c r="J33" s="13">
        <v>20.85197148</v>
      </c>
      <c r="K33" s="13">
        <v>28.26018797</v>
      </c>
      <c r="L33" s="13">
        <v>33.207928359999997</v>
      </c>
      <c r="M33" s="13">
        <v>34.073178300000009</v>
      </c>
      <c r="N33" s="13">
        <v>35.731892770000002</v>
      </c>
      <c r="O33" s="13">
        <v>42.527268629999995</v>
      </c>
      <c r="P33" s="13">
        <v>43.461694860000001</v>
      </c>
      <c r="Q33" s="13">
        <v>46.144760060000003</v>
      </c>
      <c r="R33" s="13">
        <v>53.074400949999998</v>
      </c>
      <c r="S33" s="13">
        <v>59.945577559999997</v>
      </c>
      <c r="T33" s="13">
        <v>70.349828369999997</v>
      </c>
      <c r="U33" s="13">
        <v>99.542531269999998</v>
      </c>
      <c r="V33" s="13">
        <v>112.79794502</v>
      </c>
      <c r="W33" s="13">
        <v>91.875777339999999</v>
      </c>
      <c r="X33" s="13">
        <v>91.141456650000023</v>
      </c>
      <c r="Y33" s="13">
        <v>87.920444109999991</v>
      </c>
      <c r="Z33" s="13">
        <v>95.916975039999997</v>
      </c>
      <c r="AA33" s="13">
        <v>92.404557069999981</v>
      </c>
      <c r="AB33" s="13">
        <v>86.174085669999997</v>
      </c>
      <c r="AC33" s="13">
        <v>90.871895529999989</v>
      </c>
      <c r="AD33" s="13">
        <v>97.624676279999989</v>
      </c>
      <c r="AE33" s="13">
        <v>93.492296210000006</v>
      </c>
      <c r="AF33" s="13">
        <v>113.00115142</v>
      </c>
      <c r="AG33" s="13">
        <v>95.105763310000015</v>
      </c>
      <c r="AH33" s="13">
        <v>99.452457280000004</v>
      </c>
      <c r="AI33" s="13">
        <v>118.67860034000002</v>
      </c>
      <c r="AJ33" s="13">
        <v>86.681342430000001</v>
      </c>
      <c r="AK33" s="13">
        <v>81.363274940000011</v>
      </c>
      <c r="AL33" s="13">
        <v>86.100432460000007</v>
      </c>
    </row>
    <row r="34" spans="1:38">
      <c r="A34" s="1">
        <v>10</v>
      </c>
      <c r="B34" s="5" t="s">
        <v>194</v>
      </c>
      <c r="C34" s="13">
        <f t="shared" si="12"/>
        <v>314.96208311000004</v>
      </c>
      <c r="D34" s="13">
        <f t="shared" si="13"/>
        <v>286.27077874000003</v>
      </c>
      <c r="E34" s="35">
        <f t="shared" ref="E34:E35" si="19">D34/C34-1</f>
        <v>-9.1094471076315631E-2</v>
      </c>
      <c r="G34" s="56">
        <f t="shared" si="11"/>
        <v>10</v>
      </c>
      <c r="H34" s="5" t="s">
        <v>194</v>
      </c>
      <c r="I34" s="13">
        <v>374.89243102999995</v>
      </c>
      <c r="J34" s="13">
        <v>373.39117074000001</v>
      </c>
      <c r="K34" s="13">
        <v>358.59106495999998</v>
      </c>
      <c r="L34" s="13">
        <v>354.05204652999998</v>
      </c>
      <c r="M34" s="13">
        <v>347.86783338999999</v>
      </c>
      <c r="N34" s="13">
        <v>347.68134299999997</v>
      </c>
      <c r="O34" s="13">
        <v>333.21886042</v>
      </c>
      <c r="P34" s="13">
        <v>333.28909773999993</v>
      </c>
      <c r="Q34" s="13">
        <v>343.56907105999994</v>
      </c>
      <c r="R34" s="13">
        <v>464.94667656999997</v>
      </c>
      <c r="S34" s="13">
        <v>444.45333205999998</v>
      </c>
      <c r="T34" s="13">
        <v>445.62806600999994</v>
      </c>
      <c r="U34" s="13">
        <v>432.10363967000006</v>
      </c>
      <c r="V34" s="13">
        <v>430.48837023000004</v>
      </c>
      <c r="W34" s="13">
        <v>411.86404028999999</v>
      </c>
      <c r="X34" s="13">
        <v>410.47415591999999</v>
      </c>
      <c r="Y34" s="13">
        <v>395.2</v>
      </c>
      <c r="Z34" s="13">
        <v>393.59999999999997</v>
      </c>
      <c r="AA34" s="13">
        <v>373.40425668</v>
      </c>
      <c r="AB34" s="13">
        <v>373.16019477999998</v>
      </c>
      <c r="AC34" s="13">
        <v>356.72701661999997</v>
      </c>
      <c r="AD34" s="13">
        <v>354.46523908000006</v>
      </c>
      <c r="AE34" s="13">
        <v>333.56939058</v>
      </c>
      <c r="AF34" s="13">
        <v>331.30360394999997</v>
      </c>
      <c r="AG34" s="13">
        <v>317.04000774999997</v>
      </c>
      <c r="AH34" s="13">
        <v>314.96208311000004</v>
      </c>
      <c r="AI34" s="13">
        <v>300.82256137000002</v>
      </c>
      <c r="AJ34" s="13">
        <v>298.71206809</v>
      </c>
      <c r="AK34" s="13">
        <v>288.46349608000003</v>
      </c>
      <c r="AL34" s="13">
        <v>286.27077874000003</v>
      </c>
    </row>
    <row r="35" spans="1:38">
      <c r="A35" s="1">
        <v>11</v>
      </c>
      <c r="B35" s="5" t="s">
        <v>195</v>
      </c>
      <c r="C35" s="13">
        <f t="shared" si="12"/>
        <v>277.27502403196837</v>
      </c>
      <c r="D35" s="13">
        <f t="shared" si="13"/>
        <v>298.87096625999993</v>
      </c>
      <c r="E35" s="35">
        <f t="shared" si="19"/>
        <v>7.7886359593432708E-2</v>
      </c>
      <c r="G35" s="56">
        <f t="shared" si="11"/>
        <v>11</v>
      </c>
      <c r="H35" s="5" t="s">
        <v>195</v>
      </c>
      <c r="I35" s="13">
        <v>436.70643628000005</v>
      </c>
      <c r="J35" s="13">
        <v>435.43250121000005</v>
      </c>
      <c r="K35" s="13">
        <v>459.94345766000004</v>
      </c>
      <c r="L35" s="13">
        <v>459.44146069999994</v>
      </c>
      <c r="M35" s="13">
        <v>447.97168884999991</v>
      </c>
      <c r="N35" s="13">
        <v>444.60476015999996</v>
      </c>
      <c r="O35" s="13">
        <v>438.66854733999998</v>
      </c>
      <c r="P35" s="13">
        <v>407.22077717999997</v>
      </c>
      <c r="Q35" s="13">
        <v>411.38279232000002</v>
      </c>
      <c r="R35" s="13">
        <v>411.55283524999999</v>
      </c>
      <c r="S35" s="13">
        <v>402.64184945</v>
      </c>
      <c r="T35" s="13">
        <v>405.23617636</v>
      </c>
      <c r="U35" s="13">
        <v>398.67292643000002</v>
      </c>
      <c r="V35" s="13">
        <v>389.62341451999998</v>
      </c>
      <c r="W35" s="13">
        <v>384.77816394000001</v>
      </c>
      <c r="X35" s="13">
        <v>255.49979457000001</v>
      </c>
      <c r="Y35" s="13">
        <v>250.91274734000004</v>
      </c>
      <c r="Z35" s="13">
        <v>246.45850783000003</v>
      </c>
      <c r="AA35" s="13">
        <v>239.84587967454101</v>
      </c>
      <c r="AB35" s="13">
        <v>245.38525695000001</v>
      </c>
      <c r="AC35" s="13">
        <v>262.22684147986359</v>
      </c>
      <c r="AD35" s="13">
        <v>259.98871162307182</v>
      </c>
      <c r="AE35" s="13">
        <v>260.23454816000003</v>
      </c>
      <c r="AF35" s="13">
        <v>275.17340567000002</v>
      </c>
      <c r="AG35" s="13">
        <v>283.77118774871826</v>
      </c>
      <c r="AH35" s="79">
        <v>277.27502403196837</v>
      </c>
      <c r="AI35" s="13">
        <v>293.43054256000005</v>
      </c>
      <c r="AJ35" s="13">
        <v>299.06925135999995</v>
      </c>
      <c r="AK35" s="13">
        <v>299.58527814000001</v>
      </c>
      <c r="AL35" s="13">
        <v>298.87096625999993</v>
      </c>
    </row>
    <row r="36" spans="1:38" ht="4.5" customHeight="1">
      <c r="A36" s="1">
        <v>12</v>
      </c>
      <c r="E36" s="38"/>
      <c r="G36" s="56">
        <f t="shared" si="11"/>
        <v>12</v>
      </c>
    </row>
    <row r="37" spans="1:38">
      <c r="A37" s="1">
        <v>13</v>
      </c>
      <c r="B37" s="108" t="s">
        <v>193</v>
      </c>
      <c r="C37" s="99">
        <f t="shared" si="12"/>
        <v>691.6895644219685</v>
      </c>
      <c r="D37" s="99">
        <f t="shared" si="13"/>
        <v>671.24217745999999</v>
      </c>
      <c r="E37" s="100">
        <f>D37/C37-1</f>
        <v>-2.956150853462125E-2</v>
      </c>
      <c r="G37" s="56">
        <f t="shared" si="11"/>
        <v>13</v>
      </c>
      <c r="H37" s="108" t="s">
        <v>193</v>
      </c>
      <c r="I37" s="99">
        <f>SUM(I33:I35)</f>
        <v>833.93535231999999</v>
      </c>
      <c r="J37" s="99">
        <f t="shared" ref="J37:K37" si="20">SUM(J33:J35)</f>
        <v>829.67564343000004</v>
      </c>
      <c r="K37" s="99">
        <f t="shared" si="20"/>
        <v>846.79471059000002</v>
      </c>
      <c r="L37" s="99">
        <f t="shared" ref="L37:N37" si="21">SUM(L33:L35)</f>
        <v>846.70143558999985</v>
      </c>
      <c r="M37" s="99">
        <f t="shared" si="21"/>
        <v>829.91270053999983</v>
      </c>
      <c r="N37" s="99">
        <f t="shared" si="21"/>
        <v>828.01799592999987</v>
      </c>
      <c r="O37" s="99">
        <f t="shared" ref="O37:S37" si="22">SUM(O33:O35)</f>
        <v>814.41467638999995</v>
      </c>
      <c r="P37" s="99">
        <f t="shared" si="22"/>
        <v>783.97156977999998</v>
      </c>
      <c r="Q37" s="99">
        <f t="shared" si="22"/>
        <v>801.09662344000003</v>
      </c>
      <c r="R37" s="99">
        <f t="shared" si="22"/>
        <v>929.57391276999988</v>
      </c>
      <c r="S37" s="99">
        <f t="shared" si="22"/>
        <v>907.04075906999992</v>
      </c>
      <c r="T37" s="99">
        <f t="shared" ref="T37:U37" si="23">SUM(T33:T35)</f>
        <v>921.2140707399999</v>
      </c>
      <c r="U37" s="99">
        <f t="shared" si="23"/>
        <v>930.31909737000001</v>
      </c>
      <c r="V37" s="99">
        <f>SUM(V33:V35)</f>
        <v>932.90972977000001</v>
      </c>
      <c r="W37" s="99">
        <f>SUM(W33:W35)</f>
        <v>888.51798157000007</v>
      </c>
      <c r="X37" s="99">
        <f>SUM(X33:X35)</f>
        <v>757.11540714</v>
      </c>
      <c r="Y37" s="99">
        <f t="shared" ref="Y37" si="24">SUM(Y33:Y35)</f>
        <v>734.03319145</v>
      </c>
      <c r="Z37" s="99">
        <f t="shared" ref="Z37:AF37" si="25">SUM(Z33:Z35)</f>
        <v>735.97548286999995</v>
      </c>
      <c r="AA37" s="99">
        <f t="shared" si="25"/>
        <v>705.65469342454105</v>
      </c>
      <c r="AB37" s="99">
        <f t="shared" si="25"/>
        <v>704.71953740000004</v>
      </c>
      <c r="AC37" s="99">
        <f t="shared" si="25"/>
        <v>709.82575362986358</v>
      </c>
      <c r="AD37" s="99">
        <f t="shared" si="25"/>
        <v>712.0786269830719</v>
      </c>
      <c r="AE37" s="99">
        <f t="shared" si="25"/>
        <v>687.2962349500001</v>
      </c>
      <c r="AF37" s="99">
        <f t="shared" si="25"/>
        <v>719.47816104000003</v>
      </c>
      <c r="AG37" s="99">
        <f>+AG33+AG34+AG35</f>
        <v>695.91695880871828</v>
      </c>
      <c r="AH37" s="99">
        <f t="shared" ref="AH37" si="26">+AH33+AH34+AH35</f>
        <v>691.6895644219685</v>
      </c>
      <c r="AI37" s="99">
        <f>+AI33+AI34+AI35</f>
        <v>712.93170427000007</v>
      </c>
      <c r="AJ37" s="99">
        <f>SUM(AJ33:AJ35)</f>
        <v>684.46266187999993</v>
      </c>
      <c r="AK37" s="99">
        <f>SUM(AK33:AK35)</f>
        <v>669.41204916000004</v>
      </c>
      <c r="AL37" s="99">
        <f>SUM(AL33:AL35)</f>
        <v>671.24217745999999</v>
      </c>
    </row>
    <row r="39" spans="1:38">
      <c r="AG39" s="51"/>
      <c r="AH39" s="51"/>
    </row>
    <row r="40" spans="1:38">
      <c r="P40" s="51"/>
      <c r="T40" s="51"/>
      <c r="U40" s="51"/>
      <c r="V40" s="51"/>
      <c r="W40" s="51"/>
      <c r="X40" s="51"/>
      <c r="Y40" s="51"/>
      <c r="Z40" s="51"/>
      <c r="AA40" s="51"/>
      <c r="AB40" s="51"/>
      <c r="AC40" s="51"/>
      <c r="AD40" s="51"/>
      <c r="AF40" s="51"/>
      <c r="AG40" s="51"/>
      <c r="AH40" s="51"/>
      <c r="AI40" s="51"/>
      <c r="AJ40" s="51"/>
      <c r="AK40" s="51"/>
      <c r="AL40" s="51"/>
    </row>
    <row r="41" spans="1:38">
      <c r="P41" s="51"/>
      <c r="T41" s="51"/>
      <c r="U41" s="51"/>
      <c r="V41" s="51"/>
      <c r="W41" s="51"/>
      <c r="X41" s="51"/>
      <c r="Y41" s="51"/>
      <c r="Z41" s="51"/>
      <c r="AA41" s="51"/>
      <c r="AB41" s="51"/>
      <c r="AC41" s="51"/>
      <c r="AD41" s="51"/>
      <c r="AF41" s="51"/>
      <c r="AG41" s="51"/>
      <c r="AH41" s="51"/>
      <c r="AI41" s="51"/>
      <c r="AJ41" s="51"/>
      <c r="AK41" s="51"/>
      <c r="AL41" s="51"/>
    </row>
    <row r="42" spans="1:38">
      <c r="P42" s="51"/>
      <c r="T42" s="51"/>
      <c r="U42" s="51"/>
      <c r="V42" s="51"/>
      <c r="W42" s="51"/>
      <c r="X42" s="51"/>
      <c r="Y42" s="51"/>
      <c r="Z42" s="51"/>
      <c r="AA42" s="51"/>
      <c r="AB42" s="51"/>
      <c r="AC42" s="51"/>
      <c r="AD42" s="51"/>
    </row>
    <row r="43" spans="1:38">
      <c r="P43" s="51"/>
      <c r="T43" s="51"/>
      <c r="U43" s="51"/>
      <c r="V43" s="51"/>
      <c r="W43" s="51"/>
      <c r="X43" s="51"/>
      <c r="Y43" s="51"/>
      <c r="Z43" s="51"/>
      <c r="AA43" s="51"/>
      <c r="AB43" s="51"/>
      <c r="AC43" s="51"/>
      <c r="AD43" s="51"/>
      <c r="AF43" s="51"/>
      <c r="AG43" s="51"/>
      <c r="AH43" s="51"/>
      <c r="AI43" s="51"/>
      <c r="AJ43" s="51"/>
      <c r="AK43" s="51"/>
      <c r="AL43" s="51"/>
    </row>
    <row r="44" spans="1:38">
      <c r="P44" s="51"/>
      <c r="T44" s="51"/>
      <c r="U44" s="51"/>
      <c r="V44" s="51"/>
      <c r="W44" s="51"/>
      <c r="X44" s="51"/>
      <c r="Y44" s="51"/>
      <c r="Z44" s="51"/>
      <c r="AA44" s="51"/>
      <c r="AB44" s="51"/>
      <c r="AC44" s="51"/>
      <c r="AD44" s="51"/>
      <c r="AF44" s="51"/>
      <c r="AG44" s="51"/>
      <c r="AH44" s="51"/>
      <c r="AI44" s="51"/>
      <c r="AJ44" s="51"/>
      <c r="AK44" s="51"/>
      <c r="AL44" s="51"/>
    </row>
    <row r="45" spans="1:38">
      <c r="P45" s="51"/>
      <c r="T45" s="51"/>
      <c r="U45" s="51"/>
      <c r="V45" s="51"/>
      <c r="W45" s="51"/>
      <c r="X45" s="51"/>
      <c r="Y45" s="51"/>
      <c r="Z45" s="51"/>
      <c r="AA45" s="51"/>
      <c r="AB45" s="51"/>
      <c r="AC45" s="51"/>
      <c r="AD45" s="51"/>
      <c r="AF45" s="51"/>
      <c r="AG45" s="51"/>
      <c r="AH45" s="51"/>
      <c r="AI45" s="51"/>
      <c r="AJ45" s="51"/>
      <c r="AK45" s="51"/>
      <c r="AL45" s="51"/>
    </row>
    <row r="46" spans="1:38">
      <c r="P46" s="51"/>
      <c r="T46" s="51"/>
      <c r="U46" s="51"/>
      <c r="V46" s="51"/>
      <c r="W46" s="51"/>
      <c r="X46" s="51"/>
      <c r="Y46" s="51"/>
      <c r="Z46" s="51"/>
      <c r="AA46" s="51"/>
      <c r="AB46" s="51"/>
      <c r="AC46" s="51"/>
      <c r="AD46" s="51"/>
      <c r="AF46" s="51"/>
      <c r="AG46" s="51"/>
      <c r="AH46" s="51"/>
      <c r="AI46" s="51"/>
      <c r="AJ46" s="51"/>
      <c r="AK46" s="51"/>
      <c r="AL46" s="51"/>
    </row>
    <row r="47" spans="1:38">
      <c r="P47" s="51"/>
      <c r="T47" s="51"/>
      <c r="U47" s="51"/>
      <c r="V47" s="51"/>
      <c r="W47" s="51"/>
      <c r="X47" s="51"/>
      <c r="Y47" s="51"/>
      <c r="Z47" s="51"/>
      <c r="AA47" s="51"/>
      <c r="AB47" s="51"/>
      <c r="AC47" s="51"/>
      <c r="AD47" s="51"/>
      <c r="AF47" s="51"/>
      <c r="AG47" s="51"/>
      <c r="AH47" s="51"/>
      <c r="AI47" s="51"/>
      <c r="AJ47" s="51"/>
      <c r="AK47" s="51"/>
      <c r="AL47" s="51"/>
    </row>
    <row r="48" spans="1:38">
      <c r="P48" s="51"/>
      <c r="T48" s="51"/>
      <c r="U48" s="51"/>
      <c r="V48" s="51"/>
      <c r="W48" s="51"/>
      <c r="X48" s="51"/>
      <c r="Y48" s="51"/>
      <c r="Z48" s="51"/>
      <c r="AA48" s="51"/>
      <c r="AB48" s="51"/>
      <c r="AC48" s="51"/>
      <c r="AD48" s="51"/>
    </row>
    <row r="49" spans="16:30">
      <c r="P49" s="51"/>
      <c r="T49" s="51"/>
      <c r="U49" s="51"/>
      <c r="V49" s="51"/>
      <c r="W49" s="51"/>
      <c r="X49" s="51"/>
      <c r="Y49" s="51"/>
      <c r="Z49" s="51"/>
      <c r="AA49" s="51"/>
      <c r="AB49" s="51"/>
      <c r="AC49" s="51"/>
      <c r="AD49" s="51"/>
    </row>
  </sheetData>
  <mergeCells count="66">
    <mergeCell ref="AL6:AL7"/>
    <mergeCell ref="AL25:AL26"/>
    <mergeCell ref="AG6:AG7"/>
    <mergeCell ref="AG25:AG26"/>
    <mergeCell ref="AF6:AF7"/>
    <mergeCell ref="AF25:AF26"/>
    <mergeCell ref="AK6:AK7"/>
    <mergeCell ref="AK25:AK26"/>
    <mergeCell ref="AJ6:AJ7"/>
    <mergeCell ref="AJ25:AJ26"/>
    <mergeCell ref="AI6:AI7"/>
    <mergeCell ref="AI25:AI26"/>
    <mergeCell ref="AE6:AE7"/>
    <mergeCell ref="AE25:AE26"/>
    <mergeCell ref="C25:C26"/>
    <mergeCell ref="D25:D26"/>
    <mergeCell ref="E25:E26"/>
    <mergeCell ref="U6:U7"/>
    <mergeCell ref="U25:U26"/>
    <mergeCell ref="P25:P26"/>
    <mergeCell ref="O25:O26"/>
    <mergeCell ref="N6:N7"/>
    <mergeCell ref="N25:N26"/>
    <mergeCell ref="T25:T26"/>
    <mergeCell ref="T6:T7"/>
    <mergeCell ref="S6:S7"/>
    <mergeCell ref="C6:C7"/>
    <mergeCell ref="D6:D7"/>
    <mergeCell ref="E6:E7"/>
    <mergeCell ref="I6:I7"/>
    <mergeCell ref="AH6:AH7"/>
    <mergeCell ref="AH25:AH26"/>
    <mergeCell ref="J6:J7"/>
    <mergeCell ref="V6:V7"/>
    <mergeCell ref="V25:V26"/>
    <mergeCell ref="K6:K7"/>
    <mergeCell ref="Q25:Q26"/>
    <mergeCell ref="O6:O7"/>
    <mergeCell ref="S25:S26"/>
    <mergeCell ref="R6:R7"/>
    <mergeCell ref="R25:R26"/>
    <mergeCell ref="P6:P7"/>
    <mergeCell ref="X6:X7"/>
    <mergeCell ref="AA6:AA7"/>
    <mergeCell ref="I25:I26"/>
    <mergeCell ref="L6:L7"/>
    <mergeCell ref="J25:J26"/>
    <mergeCell ref="K25:K26"/>
    <mergeCell ref="Z6:Z7"/>
    <mergeCell ref="Z25:Z26"/>
    <mergeCell ref="L25:L26"/>
    <mergeCell ref="M6:M7"/>
    <mergeCell ref="W25:W26"/>
    <mergeCell ref="W6:W7"/>
    <mergeCell ref="X25:X26"/>
    <mergeCell ref="Y6:Y7"/>
    <mergeCell ref="Y25:Y26"/>
    <mergeCell ref="AD6:AD7"/>
    <mergeCell ref="AD25:AD26"/>
    <mergeCell ref="AC6:AC7"/>
    <mergeCell ref="AC25:AC26"/>
    <mergeCell ref="M25:M26"/>
    <mergeCell ref="Q6:Q7"/>
    <mergeCell ref="AA25:AA26"/>
    <mergeCell ref="AB6:AB7"/>
    <mergeCell ref="AB25:AB26"/>
  </mergeCells>
  <pageMargins left="0.7" right="0.7" top="0.75" bottom="0.75" header="0.3" footer="0.3"/>
  <pageSetup orientation="portrait" r:id="rId1"/>
  <ignoredErrors>
    <ignoredError sqref="E28:E31 E33:E37"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9" tint="0.79998168889431442"/>
  </sheetPr>
  <dimension ref="A4:AY31"/>
  <sheetViews>
    <sheetView zoomScale="94" zoomScaleNormal="95" workbookViewId="0">
      <selection activeCell="A20" sqref="A20:XFD21"/>
    </sheetView>
  </sheetViews>
  <sheetFormatPr baseColWidth="10" defaultColWidth="11.453125" defaultRowHeight="13.5"/>
  <cols>
    <col min="1" max="1" width="30.453125" style="1" customWidth="1"/>
    <col min="2" max="5" width="11.453125" style="1"/>
    <col min="6" max="6" width="11.453125" style="56"/>
    <col min="7" max="7" width="32.54296875" style="1" customWidth="1"/>
    <col min="8" max="47" width="11.453125" style="1" customWidth="1"/>
    <col min="48" max="16384" width="11.453125" style="1"/>
  </cols>
  <sheetData>
    <row r="4" spans="1:51" ht="23.5">
      <c r="A4" s="11" t="s">
        <v>0</v>
      </c>
      <c r="B4" s="12"/>
      <c r="C4" s="12"/>
      <c r="D4" s="12"/>
      <c r="G4" s="11" t="s">
        <v>0</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row>
    <row r="6" spans="1:51" s="131" customFormat="1">
      <c r="A6" s="3" t="s">
        <v>196</v>
      </c>
      <c r="B6" s="138" t="s">
        <v>112</v>
      </c>
      <c r="C6" s="138" t="s">
        <v>221</v>
      </c>
      <c r="D6" s="138" t="s">
        <v>75</v>
      </c>
      <c r="F6" s="132">
        <v>1</v>
      </c>
      <c r="G6" s="3" t="s">
        <v>196</v>
      </c>
      <c r="H6" s="138" t="s">
        <v>76</v>
      </c>
      <c r="I6" s="138" t="s">
        <v>77</v>
      </c>
      <c r="J6" s="138" t="s">
        <v>78</v>
      </c>
      <c r="K6" s="138" t="s">
        <v>79</v>
      </c>
      <c r="L6" s="138" t="s">
        <v>80</v>
      </c>
      <c r="M6" s="138" t="s">
        <v>81</v>
      </c>
      <c r="N6" s="138" t="s">
        <v>82</v>
      </c>
      <c r="O6" s="138" t="s">
        <v>83</v>
      </c>
      <c r="P6" s="138" t="s">
        <v>84</v>
      </c>
      <c r="Q6" s="138" t="s">
        <v>85</v>
      </c>
      <c r="R6" s="138" t="s">
        <v>86</v>
      </c>
      <c r="S6" s="138" t="s">
        <v>87</v>
      </c>
      <c r="T6" s="138" t="s">
        <v>88</v>
      </c>
      <c r="U6" s="138" t="s">
        <v>89</v>
      </c>
      <c r="V6" s="138" t="s">
        <v>90</v>
      </c>
      <c r="W6" s="138" t="s">
        <v>91</v>
      </c>
      <c r="X6" s="138" t="s">
        <v>92</v>
      </c>
      <c r="Y6" s="138" t="s">
        <v>93</v>
      </c>
      <c r="Z6" s="138" t="s">
        <v>94</v>
      </c>
      <c r="AA6" s="138" t="s">
        <v>95</v>
      </c>
      <c r="AB6" s="138" t="s">
        <v>96</v>
      </c>
      <c r="AC6" s="138" t="s">
        <v>97</v>
      </c>
      <c r="AD6" s="138" t="s">
        <v>98</v>
      </c>
      <c r="AE6" s="138" t="s">
        <v>99</v>
      </c>
      <c r="AF6" s="138" t="s">
        <v>100</v>
      </c>
      <c r="AG6" s="138" t="s">
        <v>101</v>
      </c>
      <c r="AH6" s="138" t="s">
        <v>102</v>
      </c>
      <c r="AI6" s="138" t="s">
        <v>103</v>
      </c>
      <c r="AJ6" s="138" t="s">
        <v>104</v>
      </c>
      <c r="AK6" s="138" t="s">
        <v>105</v>
      </c>
      <c r="AL6" s="138" t="s">
        <v>106</v>
      </c>
      <c r="AM6" s="138" t="s">
        <v>107</v>
      </c>
      <c r="AN6" s="138" t="s">
        <v>108</v>
      </c>
      <c r="AO6" s="138" t="s">
        <v>109</v>
      </c>
      <c r="AP6" s="138" t="s">
        <v>110</v>
      </c>
      <c r="AQ6" s="138" t="s">
        <v>111</v>
      </c>
      <c r="AR6" s="138" t="s">
        <v>73</v>
      </c>
      <c r="AS6" s="138" t="s">
        <v>112</v>
      </c>
      <c r="AT6" s="138" t="s">
        <v>113</v>
      </c>
      <c r="AU6" s="138" t="s">
        <v>114</v>
      </c>
      <c r="AV6" s="138" t="s">
        <v>74</v>
      </c>
      <c r="AW6" s="138" t="s">
        <v>221</v>
      </c>
    </row>
    <row r="7" spans="1:51" s="131" customFormat="1">
      <c r="A7" s="3" t="s">
        <v>140</v>
      </c>
      <c r="B7" s="138"/>
      <c r="C7" s="138"/>
      <c r="D7" s="138"/>
      <c r="F7" s="132">
        <f>F6+1</f>
        <v>2</v>
      </c>
      <c r="G7" s="3" t="s">
        <v>140</v>
      </c>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row>
    <row r="8" spans="1:51">
      <c r="F8" s="56">
        <f t="shared" ref="F8:F13" si="0">F7+1</f>
        <v>3</v>
      </c>
    </row>
    <row r="9" spans="1:51">
      <c r="A9" s="5" t="s">
        <v>197</v>
      </c>
      <c r="B9" s="8">
        <f>HLOOKUP($B$6,$G$6:$BO$13,$F9,FALSE)</f>
        <v>1747.43</v>
      </c>
      <c r="C9" s="8">
        <f>HLOOKUP($C$6,$G$6:$BO$13,$F9,FALSE)</f>
        <v>1765.96</v>
      </c>
      <c r="D9" s="44">
        <f>C9/B9-1</f>
        <v>1.0604144372020619E-2</v>
      </c>
      <c r="F9" s="56">
        <f t="shared" si="0"/>
        <v>4</v>
      </c>
      <c r="G9" s="5" t="s">
        <v>198</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v>1717.8100000000002</v>
      </c>
      <c r="AO9" s="8">
        <v>1726.8473695093601</v>
      </c>
      <c r="AP9" s="8">
        <v>1717.45</v>
      </c>
      <c r="AQ9" s="8">
        <v>1742.59</v>
      </c>
      <c r="AR9" s="8">
        <f>2118.72699638299-AR23</f>
        <v>1742.03594457299</v>
      </c>
      <c r="AS9" s="8">
        <f>1725.24+22.19</f>
        <v>1747.43</v>
      </c>
      <c r="AT9" s="8">
        <v>1749.79</v>
      </c>
      <c r="AU9" s="8">
        <v>1763.6100000000001</v>
      </c>
      <c r="AV9" s="8">
        <v>1759.25</v>
      </c>
      <c r="AW9" s="8">
        <f>25.55+1740.41</f>
        <v>1765.96</v>
      </c>
      <c r="AX9" s="46"/>
      <c r="AY9" s="46"/>
    </row>
    <row r="10" spans="1:51">
      <c r="A10" s="5" t="s">
        <v>199</v>
      </c>
      <c r="B10" s="8">
        <f>HLOOKUP($B$6,$G$6:$BO$13,$F10,FALSE)</f>
        <v>919.78346999999997</v>
      </c>
      <c r="C10" s="8">
        <f>HLOOKUP($C$6,$G$6:$BO$13,$F10,FALSE)</f>
        <v>855.75705000000005</v>
      </c>
      <c r="D10" s="44">
        <f t="shared" ref="D10:D13" si="1">C10/B10-1</f>
        <v>-6.961031817629848E-2</v>
      </c>
      <c r="F10" s="56">
        <f t="shared" si="0"/>
        <v>5</v>
      </c>
      <c r="G10" s="5" t="s">
        <v>199</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v>1175.0899999999999</v>
      </c>
      <c r="AO10" s="8">
        <v>950.66543734941501</v>
      </c>
      <c r="AP10" s="8">
        <v>1150.7</v>
      </c>
      <c r="AQ10" s="8">
        <v>1104.6600000000001</v>
      </c>
      <c r="AR10" s="8">
        <f>1061.85538023994-AR24</f>
        <v>1022.5991758824366</v>
      </c>
      <c r="AS10" s="8">
        <v>919.78346999999997</v>
      </c>
      <c r="AT10" s="8">
        <v>1130.56808</v>
      </c>
      <c r="AU10" s="8">
        <v>985.22022000000004</v>
      </c>
      <c r="AV10" s="8">
        <v>951.24644999999998</v>
      </c>
      <c r="AW10" s="8">
        <v>855.75705000000005</v>
      </c>
      <c r="AX10" s="46"/>
      <c r="AY10" s="46"/>
    </row>
    <row r="11" spans="1:51">
      <c r="A11" s="5" t="s">
        <v>200</v>
      </c>
      <c r="B11" s="8">
        <f>HLOOKUP($B$6,$G$6:$BO$13,$F11,FALSE)</f>
        <v>827.6465300000001</v>
      </c>
      <c r="C11" s="8">
        <f>HLOOKUP($C$6,$G$6:$BO$13,$F11,FALSE)</f>
        <v>910.20294999999999</v>
      </c>
      <c r="D11" s="44">
        <f t="shared" si="1"/>
        <v>9.9748403463976176E-2</v>
      </c>
      <c r="F11" s="56">
        <f t="shared" si="0"/>
        <v>6</v>
      </c>
      <c r="G11" s="5" t="s">
        <v>200</v>
      </c>
      <c r="H11" s="8">
        <f>H9-H10</f>
        <v>1412.91</v>
      </c>
      <c r="I11" s="8">
        <f t="shared" ref="I11:P11" si="2">I9-I10</f>
        <v>1280.8440000000001</v>
      </c>
      <c r="J11" s="8">
        <f t="shared" si="2"/>
        <v>1166.751</v>
      </c>
      <c r="K11" s="8">
        <f t="shared" si="2"/>
        <v>1061.1310000000001</v>
      </c>
      <c r="L11" s="8">
        <f t="shared" si="2"/>
        <v>1071.29</v>
      </c>
      <c r="M11" s="8">
        <f t="shared" si="2"/>
        <v>964.5</v>
      </c>
      <c r="N11" s="8">
        <f t="shared" si="2"/>
        <v>780.13054674000023</v>
      </c>
      <c r="O11" s="8">
        <f t="shared" si="2"/>
        <v>799.9411094699999</v>
      </c>
      <c r="P11" s="8">
        <f t="shared" si="2"/>
        <v>823.83982456000012</v>
      </c>
      <c r="Q11" s="8">
        <f t="shared" ref="Q11" si="3">Q9-Q10</f>
        <v>804.99364794000007</v>
      </c>
      <c r="R11" s="8">
        <f t="shared" ref="R11" si="4">R9-R10</f>
        <v>784.47812723999994</v>
      </c>
      <c r="S11" s="8">
        <f t="shared" ref="S11" si="5">S9-S10</f>
        <v>702.1827538</v>
      </c>
      <c r="T11" s="8">
        <f t="shared" ref="T11" si="6">T9-T10</f>
        <v>717.46437048000007</v>
      </c>
      <c r="U11" s="8">
        <f t="shared" ref="U11" si="7">U9-U10</f>
        <v>698.57991930000003</v>
      </c>
      <c r="V11" s="8">
        <f t="shared" ref="V11:X11" si="8">V9-V10</f>
        <v>612.37156431999995</v>
      </c>
      <c r="W11" s="8">
        <f t="shared" si="8"/>
        <v>548.08105578999994</v>
      </c>
      <c r="X11" s="8">
        <f t="shared" si="8"/>
        <v>477.93759585000009</v>
      </c>
      <c r="Y11" s="8">
        <f t="shared" ref="Y11:Z11" si="9">Y9-Y10</f>
        <v>637.62375925000003</v>
      </c>
      <c r="Z11" s="8">
        <f t="shared" si="9"/>
        <v>549.51573671999995</v>
      </c>
      <c r="AA11" s="8">
        <f>+AA9-AA10</f>
        <v>489.79316417000018</v>
      </c>
      <c r="AB11" s="8">
        <f>796.27997211-AB25</f>
        <v>469.3958241200001</v>
      </c>
      <c r="AC11" s="8">
        <v>605.80341536000014</v>
      </c>
      <c r="AD11" s="8">
        <f t="shared" ref="AD11:AH11" si="10">+AD9-AD10</f>
        <v>477.06928671000003</v>
      </c>
      <c r="AE11" s="8">
        <f t="shared" si="10"/>
        <v>445.85298820000003</v>
      </c>
      <c r="AF11" s="8">
        <f t="shared" si="10"/>
        <v>396.56264338999995</v>
      </c>
      <c r="AG11" s="8">
        <f t="shared" si="10"/>
        <v>521.07156331000022</v>
      </c>
      <c r="AH11" s="8">
        <f t="shared" si="10"/>
        <v>399.67024542000024</v>
      </c>
      <c r="AI11" s="8">
        <f>+AI9-AI10</f>
        <v>398.16278228839985</v>
      </c>
      <c r="AJ11" s="8">
        <f>+AJ9-AJ10</f>
        <v>331.79800860535011</v>
      </c>
      <c r="AK11" s="8">
        <f>975.657967441702-AK25</f>
        <v>563.86302597170197</v>
      </c>
      <c r="AL11" s="8">
        <f t="shared" ref="AL11:AQ11" si="11">+AL9-AL10</f>
        <v>-542.33240596565111</v>
      </c>
      <c r="AM11" s="8">
        <f t="shared" si="11"/>
        <v>489.52208079999991</v>
      </c>
      <c r="AN11" s="8">
        <f t="shared" si="11"/>
        <v>542.72000000000025</v>
      </c>
      <c r="AO11" s="8">
        <f t="shared" si="11"/>
        <v>776.18193215994506</v>
      </c>
      <c r="AP11" s="8">
        <f t="shared" si="11"/>
        <v>566.75</v>
      </c>
      <c r="AQ11" s="8">
        <f t="shared" si="11"/>
        <v>637.92999999999984</v>
      </c>
      <c r="AR11" s="8">
        <f>1056.87161614305-AR25</f>
        <v>719.43676869055332</v>
      </c>
      <c r="AS11" s="8">
        <f>+AS9-AS10</f>
        <v>827.6465300000001</v>
      </c>
      <c r="AT11" s="8">
        <f>+AT9-AT10</f>
        <v>619.22191999999995</v>
      </c>
      <c r="AU11" s="8">
        <f>+AU9-AU10</f>
        <v>778.38978000000009</v>
      </c>
      <c r="AV11" s="8">
        <f>+AV9-AV10</f>
        <v>808.00355000000002</v>
      </c>
      <c r="AW11" s="8">
        <f>+AW9-AW10</f>
        <v>910.20294999999999</v>
      </c>
      <c r="AX11" s="46"/>
      <c r="AY11" s="46"/>
    </row>
    <row r="12" spans="1:51">
      <c r="A12" s="5" t="s">
        <v>201</v>
      </c>
      <c r="B12" s="8">
        <f>HLOOKUP($B$6,$G$6:$BO$13,$F12,FALSE)</f>
        <v>707.62625880865005</v>
      </c>
      <c r="C12" s="8">
        <f>HLOOKUP($C$6,$G$6:$BO$13,$F12,FALSE)</f>
        <v>575.15176111687185</v>
      </c>
      <c r="D12" s="44">
        <f t="shared" si="1"/>
        <v>-0.18720969726987025</v>
      </c>
      <c r="F12" s="56">
        <f t="shared" si="0"/>
        <v>7</v>
      </c>
      <c r="G12" s="5" t="s">
        <v>201</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433.74481597914689</v>
      </c>
      <c r="AO12" s="8">
        <v>449.76646769813902</v>
      </c>
      <c r="AP12" s="8">
        <v>578.13762387883901</v>
      </c>
      <c r="AQ12" s="8">
        <v>657.96531996665976</v>
      </c>
      <c r="AR12" s="8">
        <f>809.93848731713-AR26</f>
        <v>704.69264881712991</v>
      </c>
      <c r="AS12" s="8">
        <f>+SUM('Operating Income'!AQ33:AT33)</f>
        <v>707.62625880865005</v>
      </c>
      <c r="AT12" s="8">
        <f>+SUM('Operating Income'!AR33:AU33)</f>
        <v>704.4476222483861</v>
      </c>
      <c r="AU12" s="8">
        <f>SUM('Operating Income'!AS33:AV33)</f>
        <v>615.41707909742831</v>
      </c>
      <c r="AV12" s="8">
        <f>SUM('Operating Income'!AT33:AW33)</f>
        <v>578.00698383228791</v>
      </c>
      <c r="AW12" s="8">
        <f>SUM('Operating Income'!AU33:AX33)</f>
        <v>575.15176111687185</v>
      </c>
      <c r="AX12" s="46"/>
      <c r="AY12" s="46"/>
    </row>
    <row r="13" spans="1:51">
      <c r="A13" s="5" t="s">
        <v>202</v>
      </c>
      <c r="B13" s="8">
        <f>HLOOKUP($B$6,$G$6:$BO$13,$F13,FALSE)</f>
        <v>1.1696096911290637</v>
      </c>
      <c r="C13" s="8">
        <f>HLOOKUP($C$6,$G$6:$BO$13,$F13,FALSE)</f>
        <v>1.5825439675825754</v>
      </c>
      <c r="D13" s="44">
        <f t="shared" si="1"/>
        <v>0.35305305657555941</v>
      </c>
      <c r="F13" s="56">
        <f t="shared" si="0"/>
        <v>8</v>
      </c>
      <c r="G13" s="5" t="s">
        <v>202</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0.62476289382644468</v>
      </c>
      <c r="AG13" s="8">
        <v>0.62856171092891566</v>
      </c>
      <c r="AH13" s="8">
        <f t="shared" ref="AH13" si="16">+AH11/AH12</f>
        <v>0.6469479328732487</v>
      </c>
      <c r="AI13" s="8">
        <f>+AI11/AI12</f>
        <v>0.64487432559271185</v>
      </c>
      <c r="AJ13" s="8">
        <f>+AJ11/AJ12</f>
        <v>0.56702434896929876</v>
      </c>
      <c r="AK13" s="8">
        <f>+AK11/AK12</f>
        <v>0.97943183929126132</v>
      </c>
      <c r="AL13" s="8" t="s">
        <v>131</v>
      </c>
      <c r="AM13" s="8">
        <f>+AM11/AM12</f>
        <v>1.0862111031788311</v>
      </c>
      <c r="AN13" s="8">
        <f>+AN11/AN12</f>
        <v>1.2512426200987554</v>
      </c>
      <c r="AO13" s="8">
        <f>+AO11/AO12</f>
        <v>1.7257443315691554</v>
      </c>
      <c r="AP13" s="8">
        <f>+AP11/AP12</f>
        <v>0.98030291852926432</v>
      </c>
      <c r="AQ13" s="8">
        <f>+AQ11/AQ12</f>
        <v>0.96954958056501339</v>
      </c>
      <c r="AR13" s="8">
        <v>1.3048788675839702</v>
      </c>
      <c r="AS13" s="8">
        <f>+AS11/AS12</f>
        <v>1.1696096911290637</v>
      </c>
      <c r="AT13" s="8">
        <f>+AT11/AT12</f>
        <v>0.8790176876793605</v>
      </c>
      <c r="AU13" s="8">
        <f>+AU11/AU12</f>
        <v>1.2648166689517095</v>
      </c>
      <c r="AV13" s="8">
        <f>+AV11/AV12</f>
        <v>1.3979131266594642</v>
      </c>
      <c r="AW13" s="8">
        <f>+AW11/AW12</f>
        <v>1.5825439675825754</v>
      </c>
      <c r="AX13" s="46"/>
      <c r="AY13" s="46"/>
    </row>
    <row r="14" spans="1:51">
      <c r="B14" s="51"/>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row>
    <row r="15" spans="1:51">
      <c r="B15" s="51"/>
      <c r="C15" s="51"/>
    </row>
    <row r="16" spans="1:51">
      <c r="D16" s="51"/>
    </row>
    <row r="17" spans="1:51">
      <c r="AX17" s="51"/>
    </row>
    <row r="18" spans="1:51" ht="23.5">
      <c r="A18" s="11" t="s">
        <v>37</v>
      </c>
      <c r="B18" s="12"/>
      <c r="C18" s="12"/>
      <c r="D18" s="12"/>
      <c r="G18" s="11" t="s">
        <v>37</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51"/>
    </row>
    <row r="19" spans="1:51">
      <c r="AX19" s="51"/>
      <c r="AY19" s="52"/>
    </row>
    <row r="20" spans="1:51" s="131" customFormat="1">
      <c r="A20" s="3" t="s">
        <v>196</v>
      </c>
      <c r="B20" s="138" t="str">
        <f>B6</f>
        <v>2Q23</v>
      </c>
      <c r="C20" s="138" t="str">
        <f>C6</f>
        <v>2Q24</v>
      </c>
      <c r="D20" s="138" t="s">
        <v>75</v>
      </c>
      <c r="F20" s="132">
        <v>1</v>
      </c>
      <c r="G20" s="3" t="s">
        <v>196</v>
      </c>
      <c r="H20" s="138" t="s">
        <v>76</v>
      </c>
      <c r="I20" s="138" t="s">
        <v>77</v>
      </c>
      <c r="J20" s="138" t="s">
        <v>78</v>
      </c>
      <c r="K20" s="138" t="s">
        <v>79</v>
      </c>
      <c r="L20" s="138" t="s">
        <v>80</v>
      </c>
      <c r="M20" s="138" t="s">
        <v>81</v>
      </c>
      <c r="N20" s="138" t="s">
        <v>82</v>
      </c>
      <c r="O20" s="138" t="s">
        <v>83</v>
      </c>
      <c r="P20" s="138" t="s">
        <v>84</v>
      </c>
      <c r="Q20" s="138" t="s">
        <v>85</v>
      </c>
      <c r="R20" s="138" t="s">
        <v>86</v>
      </c>
      <c r="S20" s="138" t="s">
        <v>87</v>
      </c>
      <c r="T20" s="138" t="s">
        <v>88</v>
      </c>
      <c r="U20" s="138" t="s">
        <v>89</v>
      </c>
      <c r="V20" s="138" t="s">
        <v>90</v>
      </c>
      <c r="W20" s="138" t="s">
        <v>91</v>
      </c>
      <c r="X20" s="138" t="s">
        <v>92</v>
      </c>
      <c r="Y20" s="138" t="s">
        <v>93</v>
      </c>
      <c r="Z20" s="138" t="s">
        <v>94</v>
      </c>
      <c r="AA20" s="138" t="s">
        <v>95</v>
      </c>
      <c r="AB20" s="138" t="s">
        <v>96</v>
      </c>
      <c r="AC20" s="138" t="s">
        <v>97</v>
      </c>
      <c r="AD20" s="138" t="s">
        <v>98</v>
      </c>
      <c r="AE20" s="138" t="s">
        <v>99</v>
      </c>
      <c r="AF20" s="138" t="s">
        <v>100</v>
      </c>
      <c r="AG20" s="138" t="s">
        <v>101</v>
      </c>
      <c r="AH20" s="138" t="s">
        <v>102</v>
      </c>
      <c r="AI20" s="138" t="s">
        <v>103</v>
      </c>
      <c r="AJ20" s="138" t="s">
        <v>104</v>
      </c>
      <c r="AK20" s="138" t="s">
        <v>105</v>
      </c>
      <c r="AL20" s="138" t="s">
        <v>106</v>
      </c>
      <c r="AM20" s="138" t="s">
        <v>107</v>
      </c>
      <c r="AN20" s="138" t="s">
        <v>108</v>
      </c>
      <c r="AO20" s="138" t="s">
        <v>109</v>
      </c>
      <c r="AP20" s="138" t="s">
        <v>110</v>
      </c>
      <c r="AQ20" s="138" t="s">
        <v>111</v>
      </c>
      <c r="AR20" s="138" t="s">
        <v>73</v>
      </c>
      <c r="AS20" s="138" t="s">
        <v>112</v>
      </c>
      <c r="AT20" s="138" t="s">
        <v>113</v>
      </c>
      <c r="AU20" s="138" t="s">
        <v>114</v>
      </c>
      <c r="AV20" s="138" t="s">
        <v>74</v>
      </c>
      <c r="AW20" s="138" t="s">
        <v>221</v>
      </c>
      <c r="AX20" s="133"/>
      <c r="AY20" s="133"/>
    </row>
    <row r="21" spans="1:51" s="131" customFormat="1">
      <c r="A21" s="3" t="s">
        <v>140</v>
      </c>
      <c r="B21" s="138"/>
      <c r="C21" s="138"/>
      <c r="D21" s="138"/>
      <c r="F21" s="132">
        <f>F20+1</f>
        <v>2</v>
      </c>
      <c r="G21" s="3" t="s">
        <v>140</v>
      </c>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3"/>
      <c r="AY21" s="134"/>
    </row>
    <row r="22" spans="1:51">
      <c r="F22" s="56">
        <f t="shared" ref="F22:F27" si="17">F21+1</f>
        <v>3</v>
      </c>
      <c r="AX22" s="51"/>
    </row>
    <row r="23" spans="1:51">
      <c r="A23" s="5" t="s">
        <v>197</v>
      </c>
      <c r="B23" s="8">
        <f>HLOOKUP($B$20,$G$20:$BP$27,$F23,FALSE)</f>
        <v>377.39490246000003</v>
      </c>
      <c r="C23" s="8">
        <f>HLOOKUP($C$20,$G$20:$BP$27,$F23,FALSE)</f>
        <v>343.06</v>
      </c>
      <c r="D23" s="44">
        <f>C23/B23-1</f>
        <v>-9.0978712844800969E-2</v>
      </c>
      <c r="F23" s="56">
        <f t="shared" si="17"/>
        <v>4</v>
      </c>
      <c r="G23" s="5" t="s">
        <v>198</v>
      </c>
      <c r="H23" s="33"/>
      <c r="I23" s="33"/>
      <c r="J23" s="33"/>
      <c r="K23" s="33"/>
      <c r="L23" s="33"/>
      <c r="M23" s="33"/>
      <c r="N23" s="33"/>
      <c r="O23" s="33"/>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v>459.55068038999997</v>
      </c>
      <c r="AJ23" s="8">
        <v>443.4</v>
      </c>
      <c r="AK23" s="8">
        <v>444.9</v>
      </c>
      <c r="AL23" s="8">
        <v>428.2660204</v>
      </c>
      <c r="AM23" s="8">
        <v>429.57719356000001</v>
      </c>
      <c r="AN23" s="8">
        <v>411.36103896999998</v>
      </c>
      <c r="AO23" s="8">
        <v>412.45605507000005</v>
      </c>
      <c r="AP23" s="8">
        <v>394.44460880000003</v>
      </c>
      <c r="AQ23" s="8">
        <v>395.33205693999997</v>
      </c>
      <c r="AR23" s="8">
        <v>376.69105180999998</v>
      </c>
      <c r="AS23" s="8">
        <f>314.54490246+62.85</f>
        <v>377.39490246000003</v>
      </c>
      <c r="AT23" s="8">
        <v>359.22353769000006</v>
      </c>
      <c r="AU23" s="8">
        <v>359.66220430999999</v>
      </c>
      <c r="AV23" s="8">
        <v>342.54136075999998</v>
      </c>
      <c r="AW23" s="8">
        <f>57.23+285.83</f>
        <v>343.06</v>
      </c>
      <c r="AX23" s="51"/>
      <c r="AY23" s="51"/>
    </row>
    <row r="24" spans="1:51">
      <c r="A24" s="5" t="s">
        <v>199</v>
      </c>
      <c r="B24" s="8">
        <f>HLOOKUP($B$20,$G$20:$BP$27,$F24,FALSE)</f>
        <v>29.94541975204514</v>
      </c>
      <c r="C24" s="8">
        <f>HLOOKUP($C$20,$G$20:$BP$27,$F24,FALSE)</f>
        <v>50.470176230000007</v>
      </c>
      <c r="D24" s="44">
        <f t="shared" ref="D24:D27" si="18">C24/B24-1</f>
        <v>0.68540553606877119</v>
      </c>
      <c r="F24" s="56">
        <f t="shared" si="17"/>
        <v>5</v>
      </c>
      <c r="G24" s="5" t="s">
        <v>199</v>
      </c>
      <c r="H24" s="33"/>
      <c r="I24" s="33"/>
      <c r="J24" s="33"/>
      <c r="K24" s="33"/>
      <c r="L24" s="33"/>
      <c r="M24" s="33"/>
      <c r="N24" s="33"/>
      <c r="O24" s="33"/>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v>28.840882880000002</v>
      </c>
      <c r="AJ24" s="8">
        <v>21.843691669999998</v>
      </c>
      <c r="AK24" s="8">
        <v>33.105058530000001</v>
      </c>
      <c r="AL24" s="8">
        <v>21.281165947678915</v>
      </c>
      <c r="AM24" s="8">
        <v>27.868612689999999</v>
      </c>
      <c r="AN24" s="8">
        <v>21.9</v>
      </c>
      <c r="AO24" s="8">
        <v>39.155071289971971</v>
      </c>
      <c r="AP24" s="8">
        <v>25.200533866652698</v>
      </c>
      <c r="AQ24" s="8">
        <v>49.780322774867329</v>
      </c>
      <c r="AR24" s="8">
        <v>39.256204357503321</v>
      </c>
      <c r="AS24" s="8">
        <v>29.94541975204514</v>
      </c>
      <c r="AT24" s="8">
        <v>40.156621789999996</v>
      </c>
      <c r="AU24" s="8">
        <v>45.912658889999996</v>
      </c>
      <c r="AV24" s="8">
        <v>38.901968370000006</v>
      </c>
      <c r="AW24" s="8">
        <v>50.470176230000007</v>
      </c>
    </row>
    <row r="25" spans="1:51">
      <c r="A25" s="5" t="s">
        <v>200</v>
      </c>
      <c r="B25" s="8">
        <f>HLOOKUP($B$20,$G$20:$BP$27,$F25,FALSE)</f>
        <v>347.44948270795487</v>
      </c>
      <c r="C25" s="8">
        <f>HLOOKUP($C$20,$G$20:$BP$27,$F25,FALSE)</f>
        <v>292.58982377000001</v>
      </c>
      <c r="D25" s="44">
        <f t="shared" si="18"/>
        <v>-0.15789247550576035</v>
      </c>
      <c r="F25" s="56">
        <f t="shared" si="17"/>
        <v>6</v>
      </c>
      <c r="G25" s="5" t="s">
        <v>200</v>
      </c>
      <c r="H25" s="33"/>
      <c r="I25" s="33"/>
      <c r="J25" s="33"/>
      <c r="K25" s="33"/>
      <c r="L25" s="33"/>
      <c r="M25" s="33"/>
      <c r="N25" s="33"/>
      <c r="O25" s="33"/>
      <c r="P25" s="8">
        <f>P23-P24</f>
        <v>357.60892777999999</v>
      </c>
      <c r="Q25" s="8">
        <f t="shared" ref="Q25:V25" si="19">Q23-Q24</f>
        <v>356.25294137999998</v>
      </c>
      <c r="R25" s="8">
        <f t="shared" si="19"/>
        <v>335.77891646</v>
      </c>
      <c r="S25" s="8">
        <f t="shared" si="19"/>
        <v>340.85219169999999</v>
      </c>
      <c r="T25" s="8">
        <f t="shared" si="19"/>
        <v>321.79686831000004</v>
      </c>
      <c r="U25" s="8">
        <f>U23-U24</f>
        <v>323.54273853000001</v>
      </c>
      <c r="V25" s="8">
        <f t="shared" si="19"/>
        <v>307.34432609999999</v>
      </c>
      <c r="W25" s="8">
        <f t="shared" ref="W25:X25" si="20">W23-W24</f>
        <v>301.15624766999997</v>
      </c>
      <c r="X25" s="8">
        <f t="shared" si="20"/>
        <v>309.76924835</v>
      </c>
      <c r="Y25" s="8">
        <f t="shared" ref="Y25:Z25" si="21">Y23-Y24</f>
        <v>301.63502271999999</v>
      </c>
      <c r="Z25" s="8">
        <f t="shared" si="21"/>
        <v>298.98818391000003</v>
      </c>
      <c r="AA25" s="8">
        <v>325.38267724999997</v>
      </c>
      <c r="AB25" s="8">
        <f t="shared" ref="AB25:AG25" si="22">+AB23-AB24</f>
        <v>326.88414798999992</v>
      </c>
      <c r="AC25" s="8">
        <f t="shared" si="22"/>
        <v>451.34711448999997</v>
      </c>
      <c r="AD25" s="8">
        <f t="shared" si="22"/>
        <v>443.80922921000001</v>
      </c>
      <c r="AE25" s="8">
        <f t="shared" si="22"/>
        <v>435.49487671999998</v>
      </c>
      <c r="AF25" s="8">
        <f t="shared" si="22"/>
        <v>438.50044033000006</v>
      </c>
      <c r="AG25" s="8">
        <f t="shared" si="22"/>
        <v>431.32762690999999</v>
      </c>
      <c r="AH25" s="8">
        <v>431.15739717999998</v>
      </c>
      <c r="AI25" s="8">
        <f t="shared" ref="AI25:AW25" si="23">+AI23-AI24</f>
        <v>430.70979750999999</v>
      </c>
      <c r="AJ25" s="8">
        <f t="shared" si="23"/>
        <v>421.55630832999998</v>
      </c>
      <c r="AK25" s="8">
        <f t="shared" si="23"/>
        <v>411.79494146999997</v>
      </c>
      <c r="AL25" s="8">
        <f t="shared" si="23"/>
        <v>406.98485445232109</v>
      </c>
      <c r="AM25" s="8">
        <f t="shared" si="23"/>
        <v>401.70858086999999</v>
      </c>
      <c r="AN25" s="8">
        <f t="shared" si="23"/>
        <v>389.46103897</v>
      </c>
      <c r="AO25" s="8">
        <f t="shared" si="23"/>
        <v>373.3009837800281</v>
      </c>
      <c r="AP25" s="8">
        <f t="shared" si="23"/>
        <v>369.24407493334735</v>
      </c>
      <c r="AQ25" s="8">
        <f t="shared" si="23"/>
        <v>345.55173416513264</v>
      </c>
      <c r="AR25" s="8">
        <f t="shared" si="23"/>
        <v>337.43484745249668</v>
      </c>
      <c r="AS25" s="8">
        <f t="shared" si="23"/>
        <v>347.44948270795487</v>
      </c>
      <c r="AT25" s="8">
        <f t="shared" si="23"/>
        <v>319.06691590000008</v>
      </c>
      <c r="AU25" s="8">
        <f t="shared" si="23"/>
        <v>313.74954542</v>
      </c>
      <c r="AV25" s="8">
        <f t="shared" si="23"/>
        <v>303.63939238999995</v>
      </c>
      <c r="AW25" s="8">
        <f t="shared" si="23"/>
        <v>292.58982377000001</v>
      </c>
    </row>
    <row r="26" spans="1:51">
      <c r="A26" s="5" t="s">
        <v>201</v>
      </c>
      <c r="B26" s="8">
        <f>HLOOKUP($B$20,$G$20:$BP$27,$F26,FALSE)</f>
        <v>84.2</v>
      </c>
      <c r="C26" s="8">
        <f>HLOOKUP($C$20,$G$20:$BP$27,$F26,FALSE)</f>
        <v>111.22836588999998</v>
      </c>
      <c r="D26" s="44">
        <f t="shared" si="18"/>
        <v>0.32100197019002352</v>
      </c>
      <c r="F26" s="56">
        <f t="shared" si="17"/>
        <v>7</v>
      </c>
      <c r="G26" s="5" t="s">
        <v>201</v>
      </c>
      <c r="H26" s="33"/>
      <c r="I26" s="33"/>
      <c r="J26" s="33"/>
      <c r="K26" s="33"/>
      <c r="L26" s="33"/>
      <c r="M26" s="33"/>
      <c r="N26" s="33"/>
      <c r="O26" s="33"/>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c r="AO26" s="8">
        <f>+SUM('Operating Income'!AM67:AP67)</f>
        <v>84.790058539999976</v>
      </c>
      <c r="AP26" s="8">
        <v>89.667325249999962</v>
      </c>
      <c r="AQ26" s="8">
        <v>105.13941662000002</v>
      </c>
      <c r="AR26" s="8">
        <f>+SUM('Operating Income'!AP67:AS67)</f>
        <v>105.24583850000006</v>
      </c>
      <c r="AS26" s="8">
        <v>84.2</v>
      </c>
      <c r="AT26" s="8">
        <v>107.8</v>
      </c>
      <c r="AU26" s="8">
        <f>SUM('Operating Income'!AS67:AV67)</f>
        <v>98.132997599999982</v>
      </c>
      <c r="AV26" s="8">
        <f>SUM('Operating Income'!AT67:AW67)</f>
        <v>90.688307479999963</v>
      </c>
      <c r="AW26" s="8">
        <f>SUM('Operating Income'!AU67:AX67)</f>
        <v>111.22836588999998</v>
      </c>
    </row>
    <row r="27" spans="1:51">
      <c r="A27" s="5" t="s">
        <v>202</v>
      </c>
      <c r="B27" s="8">
        <f>HLOOKUP($B$20,$G$20:$BP$27,$F27,FALSE)</f>
        <v>4.1264784169590838</v>
      </c>
      <c r="C27" s="8">
        <f>HLOOKUP($C$20,$G$20:$BP$27,$F27,FALSE)</f>
        <v>2.6305324314425209</v>
      </c>
      <c r="D27" s="44">
        <f t="shared" si="18"/>
        <v>-0.36252364228260447</v>
      </c>
      <c r="F27" s="56">
        <f t="shared" si="17"/>
        <v>8</v>
      </c>
      <c r="G27" s="5" t="s">
        <v>202</v>
      </c>
      <c r="H27" s="33"/>
      <c r="I27" s="33"/>
      <c r="J27" s="33"/>
      <c r="K27" s="33"/>
      <c r="L27" s="33"/>
      <c r="M27" s="33"/>
      <c r="N27" s="33"/>
      <c r="O27" s="33"/>
      <c r="P27" s="8">
        <f t="shared" ref="P27" si="24">P25/P26</f>
        <v>6.812071025287338</v>
      </c>
      <c r="Q27" s="8">
        <f t="shared" ref="Q27" si="25">Q25/Q26</f>
        <v>8.2396924068402893</v>
      </c>
      <c r="R27" s="8">
        <f t="shared" ref="R27" si="26">R25/R26</f>
        <v>7.2422969490599751</v>
      </c>
      <c r="S27" s="8">
        <f t="shared" ref="S27:V27" si="27">S25/S26</f>
        <v>6.082419405089329</v>
      </c>
      <c r="T27" s="8">
        <f t="shared" si="27"/>
        <v>6.3433220503669787</v>
      </c>
      <c r="U27" s="8">
        <f t="shared" si="27"/>
        <v>6.1603357613367482</v>
      </c>
      <c r="V27" s="8">
        <f t="shared" si="27"/>
        <v>6.1594951218491349</v>
      </c>
      <c r="W27" s="8">
        <f t="shared" ref="W27:X27" si="28">W25/W26</f>
        <v>5.6200828843228612</v>
      </c>
      <c r="X27" s="8">
        <f t="shared" si="28"/>
        <v>5.9463480559922361</v>
      </c>
      <c r="Y27" s="8">
        <f t="shared" ref="Y27" si="29">Y25/Y26</f>
        <v>5.6376507857584421</v>
      </c>
      <c r="Z27" s="8">
        <f>Z25/Z26</f>
        <v>6.3088231922555744</v>
      </c>
      <c r="AA27" s="8">
        <f>AA25/AA26</f>
        <v>9.1042702507476125</v>
      </c>
      <c r="AB27" s="8">
        <f t="shared" ref="AB27:AH27" si="30">+AB25/AB26</f>
        <v>7.6230803438079393</v>
      </c>
      <c r="AC27" s="8">
        <f t="shared" si="30"/>
        <v>9.2052025542810334</v>
      </c>
      <c r="AD27" s="8">
        <f t="shared" si="30"/>
        <v>7.6966107928431313</v>
      </c>
      <c r="AE27" s="8">
        <f t="shared" si="30"/>
        <v>6.2275752552382411</v>
      </c>
      <c r="AF27" s="8">
        <f t="shared" si="30"/>
        <v>5.7049140509193448</v>
      </c>
      <c r="AG27" s="8">
        <f t="shared" si="30"/>
        <v>6.3347358334203783</v>
      </c>
      <c r="AH27" s="8">
        <f t="shared" si="30"/>
        <v>6.363345313362518</v>
      </c>
      <c r="AI27" s="8">
        <f t="shared" ref="AI27:AN27" si="31">+AI25/AI26</f>
        <v>6.6148510154624569</v>
      </c>
      <c r="AJ27" s="8">
        <f t="shared" si="31"/>
        <v>6.7571632894011024</v>
      </c>
      <c r="AK27" s="8">
        <f t="shared" si="31"/>
        <v>6.503550688542922</v>
      </c>
      <c r="AL27" s="8">
        <f t="shared" si="31"/>
        <v>6.0271863179473426</v>
      </c>
      <c r="AM27" s="8">
        <f t="shared" si="31"/>
        <v>5.777674150877985</v>
      </c>
      <c r="AN27" s="8">
        <f t="shared" si="31"/>
        <v>5.0255839493700174</v>
      </c>
      <c r="AO27" s="8">
        <f t="shared" ref="AO27:AW27" si="32">+AO25/AO26</f>
        <v>4.4026503838763382</v>
      </c>
      <c r="AP27" s="8">
        <f t="shared" si="32"/>
        <v>4.1179334155877196</v>
      </c>
      <c r="AQ27" s="8">
        <f t="shared" si="32"/>
        <v>3.2866050171653747</v>
      </c>
      <c r="AR27" s="8">
        <f t="shared" si="32"/>
        <v>3.2061585736950207</v>
      </c>
      <c r="AS27" s="8">
        <f t="shared" si="32"/>
        <v>4.1264784169590838</v>
      </c>
      <c r="AT27" s="8">
        <f t="shared" si="32"/>
        <v>2.9598044146567726</v>
      </c>
      <c r="AU27" s="8">
        <f t="shared" si="32"/>
        <v>3.1971870124550241</v>
      </c>
      <c r="AV27" s="8">
        <f t="shared" si="32"/>
        <v>3.3481647284790639</v>
      </c>
      <c r="AW27" s="8">
        <f t="shared" si="32"/>
        <v>2.6305324314425209</v>
      </c>
    </row>
    <row r="29" spans="1:51">
      <c r="G29" s="1" t="s">
        <v>203</v>
      </c>
      <c r="R29" s="32"/>
      <c r="S29" s="32"/>
      <c r="T29" s="32"/>
      <c r="U29" s="32"/>
      <c r="V29" s="32"/>
      <c r="W29" s="32"/>
      <c r="X29" s="51"/>
      <c r="Y29" s="51"/>
      <c r="Z29" s="51"/>
      <c r="AA29" s="51"/>
      <c r="AB29" s="51"/>
      <c r="AC29" s="51"/>
      <c r="AD29" s="51"/>
      <c r="AE29" s="51"/>
      <c r="AF29" s="51"/>
      <c r="AG29" s="51"/>
      <c r="AH29" s="51"/>
      <c r="AI29" s="51"/>
      <c r="AJ29" s="51"/>
      <c r="AK29" s="51"/>
      <c r="AL29" s="51"/>
      <c r="AM29" s="51"/>
      <c r="AN29" s="51"/>
      <c r="AT29" s="51"/>
      <c r="AU29" s="51"/>
      <c r="AV29" s="51"/>
      <c r="AW29" s="51"/>
    </row>
    <row r="30" spans="1:51">
      <c r="B30" s="49"/>
      <c r="AU30" s="51"/>
      <c r="AV30" s="51"/>
      <c r="AW30" s="51"/>
    </row>
    <row r="31" spans="1:51" ht="119.25" customHeight="1">
      <c r="A31" s="141" t="s">
        <v>204</v>
      </c>
      <c r="B31" s="141"/>
      <c r="C31" s="141"/>
      <c r="D31" s="141"/>
    </row>
  </sheetData>
  <mergeCells count="91">
    <mergeCell ref="A31:D31"/>
    <mergeCell ref="P6:P7"/>
    <mergeCell ref="W6:W7"/>
    <mergeCell ref="W20:W21"/>
    <mergeCell ref="S6:S7"/>
    <mergeCell ref="T6:T7"/>
    <mergeCell ref="U6:U7"/>
    <mergeCell ref="V6:V7"/>
    <mergeCell ref="Q6:Q7"/>
    <mergeCell ref="R6:R7"/>
    <mergeCell ref="U20:U21"/>
    <mergeCell ref="V20:V21"/>
    <mergeCell ref="H6:H7"/>
    <mergeCell ref="H20:H21"/>
    <mergeCell ref="B6:B7"/>
    <mergeCell ref="C6:C7"/>
    <mergeCell ref="B20:B21"/>
    <mergeCell ref="C20:C21"/>
    <mergeCell ref="AW6:AW7"/>
    <mergeCell ref="AW20:AW21"/>
    <mergeCell ref="D20:D21"/>
    <mergeCell ref="D6:D7"/>
    <mergeCell ref="K6:K7"/>
    <mergeCell ref="I20:I21"/>
    <mergeCell ref="J20:J21"/>
    <mergeCell ref="K20:K21"/>
    <mergeCell ref="I6:I7"/>
    <mergeCell ref="J6:J7"/>
    <mergeCell ref="M20:M21"/>
    <mergeCell ref="N20:N21"/>
    <mergeCell ref="M6:M7"/>
    <mergeCell ref="N6:N7"/>
    <mergeCell ref="L6:L7"/>
    <mergeCell ref="L20:L21"/>
    <mergeCell ref="R20:R21"/>
    <mergeCell ref="S20:S21"/>
    <mergeCell ref="O20:O21"/>
    <mergeCell ref="P20:P21"/>
    <mergeCell ref="Q20:Q21"/>
    <mergeCell ref="O6:O7"/>
    <mergeCell ref="X6:X7"/>
    <mergeCell ref="X20:X21"/>
    <mergeCell ref="T20:T21"/>
    <mergeCell ref="AD6:AD7"/>
    <mergeCell ref="AD20:AD21"/>
    <mergeCell ref="AC6:AC7"/>
    <mergeCell ref="AC20:AC21"/>
    <mergeCell ref="AB6:AB7"/>
    <mergeCell ref="AB20:AB21"/>
    <mergeCell ref="Z6:Z7"/>
    <mergeCell ref="Z20:Z21"/>
    <mergeCell ref="Y6:Y7"/>
    <mergeCell ref="Y20:Y21"/>
    <mergeCell ref="AA6:AA7"/>
    <mergeCell ref="AA20:AA21"/>
    <mergeCell ref="AE20:AE21"/>
    <mergeCell ref="AE6:AE7"/>
    <mergeCell ref="AH6:AH7"/>
    <mergeCell ref="AH20:AH21"/>
    <mergeCell ref="AG6:AG7"/>
    <mergeCell ref="AG20:AG21"/>
    <mergeCell ref="AF6:AF7"/>
    <mergeCell ref="AF20:AF21"/>
    <mergeCell ref="AP6:AP7"/>
    <mergeCell ref="AP20:AP21"/>
    <mergeCell ref="AO6:AO7"/>
    <mergeCell ref="AO20:AO21"/>
    <mergeCell ref="AN6:AN7"/>
    <mergeCell ref="AN20:AN21"/>
    <mergeCell ref="AI6:AI7"/>
    <mergeCell ref="AI20:AI21"/>
    <mergeCell ref="AM6:AM7"/>
    <mergeCell ref="AM20:AM21"/>
    <mergeCell ref="AS6:AS7"/>
    <mergeCell ref="AS20:AS21"/>
    <mergeCell ref="AK6:AK7"/>
    <mergeCell ref="AK20:AK21"/>
    <mergeCell ref="AJ6:AJ7"/>
    <mergeCell ref="AJ20:AJ21"/>
    <mergeCell ref="AL6:AL7"/>
    <mergeCell ref="AL20:AL21"/>
    <mergeCell ref="AR6:AR7"/>
    <mergeCell ref="AR20:AR21"/>
    <mergeCell ref="AQ6:AQ7"/>
    <mergeCell ref="AQ20:AQ21"/>
    <mergeCell ref="AV6:AV7"/>
    <mergeCell ref="AV20:AV21"/>
    <mergeCell ref="AU6:AU7"/>
    <mergeCell ref="AU20:AU21"/>
    <mergeCell ref="AT6:AT7"/>
    <mergeCell ref="AT20:AT21"/>
  </mergeCells>
  <pageMargins left="0.7" right="0.7" top="0.75" bottom="0.75" header="0.3" footer="0.3"/>
  <pageSetup orientation="portrait" r:id="rId1"/>
  <ignoredErrors>
    <ignoredError sqref="AK11 AR11"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448556e-ab45-447d-a243-5b6498f30d0f" xsi:nil="true"/>
    <lcf76f155ced4ddcb4097134ff3c332f xmlns="af28b929-2fa0-4937-be7e-13907b45f7f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16" ma:contentTypeDescription="Crear nuevo documento." ma:contentTypeScope="" ma:versionID="e988ecc20b75482f22131ec352b3a932">
  <xsd:schema xmlns:xsd="http://www.w3.org/2001/XMLSchema" xmlns:xs="http://www.w3.org/2001/XMLSchema" xmlns:p="http://schemas.microsoft.com/office/2006/metadata/properties" xmlns:ns2="af28b929-2fa0-4937-be7e-13907b45f7fc" xmlns:ns3="8448556e-ab45-447d-a243-5b6498f30d0f" targetNamespace="http://schemas.microsoft.com/office/2006/metadata/properties" ma:root="true" ma:fieldsID="a6d9b3854f91be1d26eaaa8ae8560882" ns2:_="" ns3:_="">
    <xsd:import namespace="af28b929-2fa0-4937-be7e-13907b45f7fc"/>
    <xsd:import namespace="8448556e-ab45-447d-a243-5b6498f30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75f71c0-b4dd-493d-965f-77a5d41d4b26"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48556e-ab45-447d-a243-5b6498f30d0f"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ed38ad9a-3782-4073-8f84-34df946470be}" ma:internalName="TaxCatchAll" ma:showField="CatchAllData" ma:web="8448556e-ab45-447d-a243-5b6498f30d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A24069-4881-426E-A50B-2B90C6FAFD2F}">
  <ds:schemaRefs>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af28b929-2fa0-4937-be7e-13907b45f7fc"/>
    <ds:schemaRef ds:uri="http://www.w3.org/XML/1998/namespace"/>
    <ds:schemaRef ds:uri="8448556e-ab45-447d-a243-5b6498f30d0f"/>
    <ds:schemaRef ds:uri="http://purl.org/dc/dcmitype/"/>
    <ds:schemaRef ds:uri="http://purl.org/dc/elements/1.1/"/>
  </ds:schemaRefs>
</ds:datastoreItem>
</file>

<file path=customXml/itemProps2.xml><?xml version="1.0" encoding="utf-8"?>
<ds:datastoreItem xmlns:ds="http://schemas.openxmlformats.org/officeDocument/2006/customXml" ds:itemID="{6988688E-6069-4CD8-ABCB-2D5B848E8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8448556e-ab45-447d-a243-5b6498f30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5F6794-A2FB-4EC1-92F9-2F6866DB1C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Index</vt:lpstr>
      <vt:lpstr>Installed Capacity</vt:lpstr>
      <vt:lpstr>PPAs</vt: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Macarena Del Pilar Guell Moreno</cp:lastModifiedBy>
  <cp:revision/>
  <dcterms:created xsi:type="dcterms:W3CDTF">2017-12-05T18:05:13Z</dcterms:created>
  <dcterms:modified xsi:type="dcterms:W3CDTF">2024-08-08T00:01:04Z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y fmtid="{D5CDD505-2E9C-101B-9397-08002B2CF9AE}" pid="3" name="MediaServiceImageTags">
    <vt:lpwstr/>
  </property>
</Properties>
</file>